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4910" windowHeight="8955" tabRatio="723" activeTab="0"/>
  </bookViews>
  <sheets>
    <sheet name="様式1" sheetId="1" r:id="rId1"/>
    <sheet name="様式2" sheetId="2" r:id="rId2"/>
    <sheet name="様式3" sheetId="3" r:id="rId3"/>
    <sheet name="様式4" sheetId="4" r:id="rId4"/>
    <sheet name="様式5" sheetId="5" r:id="rId5"/>
    <sheet name="計算シート" sheetId="6" r:id="rId6"/>
    <sheet name="様式6" sheetId="7" r:id="rId7"/>
    <sheet name="様式7" sheetId="8" r:id="rId8"/>
    <sheet name="様式8" sheetId="9" r:id="rId9"/>
    <sheet name="産業分類表" sheetId="10" r:id="rId10"/>
    <sheet name="排出係数表" sheetId="11" r:id="rId11"/>
  </sheets>
  <externalReferences>
    <externalReference r:id="rId14"/>
    <externalReference r:id="rId15"/>
    <externalReference r:id="rId16"/>
  </externalReferences>
  <definedNames>
    <definedName name="_xlnm.Print_Area" localSheetId="9">'産業分類表'!$G$1:$K$51</definedName>
    <definedName name="_xlnm.Print_Area" localSheetId="10">'排出係数表'!$H$2:$U$49</definedName>
    <definedName name="_xlnm.Print_Area" localSheetId="2">'様式3'!$A$1:$Y$45</definedName>
    <definedName name="_xlnm.Print_Area" localSheetId="6">'様式6'!$A$1:$T$24</definedName>
    <definedName name="月" localSheetId="0">'[2]様式4'!#REF!</definedName>
    <definedName name="月">'様式4'!$M$338:$M$349</definedName>
    <definedName name="産業分類" localSheetId="0">#REF!</definedName>
    <definedName name="産業分類">'産業分類表'!$F$2:$F$98</definedName>
    <definedName name="市区町村" localSheetId="0">#REF!</definedName>
    <definedName name="市区町村">'産業分類表'!$B$2:$B$22</definedName>
    <definedName name="種類" localSheetId="5">#REF!</definedName>
    <definedName name="種類" localSheetId="0">#REF!</definedName>
    <definedName name="種類" localSheetId="3">'様式4'!$K$306:$K$313</definedName>
    <definedName name="種類" localSheetId="4">#REF!</definedName>
    <definedName name="種類">#REF!</definedName>
    <definedName name="重量区分" localSheetId="0">'[2]様式4'!#REF!</definedName>
    <definedName name="重量区分">'様式4'!$K$315:$K$318</definedName>
    <definedName name="初度登録年" localSheetId="0">'[2]様式4'!#REF!</definedName>
    <definedName name="初度登録年">'様式4'!$K$338:$K$366</definedName>
    <definedName name="総括表作成記号" localSheetId="0">'[2]様式4'!#REF!</definedName>
    <definedName name="総括表作成記号">'様式4'!$AG$4:$AG$303</definedName>
    <definedName name="低公害車等燃料">'様式4'!$K$373:$K$386</definedName>
    <definedName name="燃料" localSheetId="0">'[2]様式4'!#REF!</definedName>
    <definedName name="燃料">'様式4'!$K$320:$K$336</definedName>
    <definedName name="廃止予定年" localSheetId="0">'[2]様式4'!#REF!</definedName>
    <definedName name="廃止予定年">'様式4'!$K$368:$K$371</definedName>
  </definedNames>
  <calcPr fullCalcOnLoad="1"/>
</workbook>
</file>

<file path=xl/sharedStrings.xml><?xml version="1.0" encoding="utf-8"?>
<sst xmlns="http://schemas.openxmlformats.org/spreadsheetml/2006/main" count="1903" uniqueCount="959">
  <si>
    <t>新規台数記号</t>
  </si>
  <si>
    <t>低公害車導入率</t>
  </si>
  <si>
    <t>普通貨物自動車</t>
  </si>
  <si>
    <t>小型貨物自動車</t>
  </si>
  <si>
    <t>特種自動車</t>
  </si>
  <si>
    <t>乗用車</t>
  </si>
  <si>
    <t>様式６</t>
  </si>
  <si>
    <t>ガソリン・LPG（超）(ULEV)</t>
  </si>
  <si>
    <t>ガソリン・LPG（優）(LEV)</t>
  </si>
  <si>
    <t>ガソリン・LPG（良）(TLEV)</t>
  </si>
  <si>
    <t>ガソリン・LPG（その他のLEV-6）</t>
  </si>
  <si>
    <t>LPG（その他）</t>
  </si>
  <si>
    <t>01.天然ガス（ＣＮＧ）</t>
  </si>
  <si>
    <t>06.ガソリン（超）（ULEV）</t>
  </si>
  <si>
    <t>06.ＬＰＧ（超）（ULEV）</t>
  </si>
  <si>
    <t>07.ガソリン（優）（LEV）</t>
  </si>
  <si>
    <t>07.ＬＰＧ（優）（LEV）</t>
  </si>
  <si>
    <t>08.ガソリン（良）（TLEV）</t>
  </si>
  <si>
    <t>08.ＬＰＧ（良）（TLEV）</t>
  </si>
  <si>
    <t>09.ガソリン（その他のLEV-6）</t>
  </si>
  <si>
    <t>09.ＬＰＧ（その他のLEV-6）</t>
  </si>
  <si>
    <t>11.ＬＰＧ（その他）</t>
  </si>
  <si>
    <t>12.軽油（その他のLEV-6）</t>
  </si>
  <si>
    <t>02.ハイブリッド（ガソリン）</t>
  </si>
  <si>
    <t>05.メタノール</t>
  </si>
  <si>
    <t>排出量の目標</t>
  </si>
  <si>
    <t>自動車排出粒子状物質(PM)</t>
  </si>
  <si>
    <t>ハイブリッド(軽油)</t>
  </si>
  <si>
    <t>(1)</t>
  </si>
  <si>
    <t>バス</t>
  </si>
  <si>
    <t>①</t>
  </si>
  <si>
    <t>（１／５）</t>
  </si>
  <si>
    <t>（１）</t>
  </si>
  <si>
    <t>ハイブリッドガソリン</t>
  </si>
  <si>
    <t>（３／２）</t>
  </si>
  <si>
    <t>（２）</t>
  </si>
  <si>
    <t>（１／２）</t>
  </si>
  <si>
    <t>メタノール</t>
  </si>
  <si>
    <t>（２）</t>
  </si>
  <si>
    <t>（１）</t>
  </si>
  <si>
    <t>（１／２）</t>
  </si>
  <si>
    <t>（１／３）</t>
  </si>
  <si>
    <t>（１／４）</t>
  </si>
  <si>
    <t>平成１４年度</t>
  </si>
  <si>
    <t>平成１５年度</t>
  </si>
  <si>
    <t>平成１６年度</t>
  </si>
  <si>
    <t>平成１７年度</t>
  </si>
  <si>
    <t>ガソリン・ＬＰＧ</t>
  </si>
  <si>
    <t>平成１４年度</t>
  </si>
  <si>
    <t>平成１５年度</t>
  </si>
  <si>
    <t>平成１６年度</t>
  </si>
  <si>
    <t>平成１７年度</t>
  </si>
  <si>
    <t xml:space="preserve">1 農業                                            </t>
  </si>
  <si>
    <t xml:space="preserve">2 林業                                            </t>
  </si>
  <si>
    <t xml:space="preserve">3 漁業                                            </t>
  </si>
  <si>
    <t xml:space="preserve">4 水産養殖業                                      </t>
  </si>
  <si>
    <t xml:space="preserve">5 鉱業                                            </t>
  </si>
  <si>
    <t xml:space="preserve">6 総合工事業                                      </t>
  </si>
  <si>
    <t xml:space="preserve">7 職別工事業(設備工事業を除く)   </t>
  </si>
  <si>
    <t xml:space="preserve">8 設備工事業                                      </t>
  </si>
  <si>
    <t xml:space="preserve">9 食料品製造業                                    </t>
  </si>
  <si>
    <t xml:space="preserve">10 飲料・たばこ・飼料製造業                        </t>
  </si>
  <si>
    <t>11 繊維工業（衣服，その他の繊維製品を除く）</t>
  </si>
  <si>
    <t>12 衣服・その他の繊維製品製造業</t>
  </si>
  <si>
    <t xml:space="preserve">13 木材・木製品製造業（家具を除く）    </t>
  </si>
  <si>
    <t xml:space="preserve">14 家具・装備品製造業                              </t>
  </si>
  <si>
    <t xml:space="preserve">15 パルプ・紙・紙加工品製造業         </t>
  </si>
  <si>
    <t xml:space="preserve">16 印刷・同関連業                                  </t>
  </si>
  <si>
    <t xml:space="preserve">17 化学工業                                        </t>
  </si>
  <si>
    <t xml:space="preserve">18 石油製品・石炭製品製造業    </t>
  </si>
  <si>
    <t>19 プラスチック製品製造業（別掲を除く）</t>
  </si>
  <si>
    <t xml:space="preserve">20 ゴム製品製造業                                  </t>
  </si>
  <si>
    <t>21 なめし革・同製品・毛皮製造業</t>
  </si>
  <si>
    <t xml:space="preserve">22 窯業・土石製品製造業                            </t>
  </si>
  <si>
    <t xml:space="preserve">23 鉄鋼業                                          </t>
  </si>
  <si>
    <t xml:space="preserve">24 非鉄金属製造業                                  </t>
  </si>
  <si>
    <t xml:space="preserve">25 金属製品製造業                                  </t>
  </si>
  <si>
    <t>　ガソリン・ＬＰＧ車の排出ガスの原単位</t>
  </si>
  <si>
    <t>車両総重量</t>
  </si>
  <si>
    <t>規制年</t>
  </si>
  <si>
    <t>型式の識別記号</t>
  </si>
  <si>
    <t>単位</t>
  </si>
  <si>
    <t>ＮＯx</t>
  </si>
  <si>
    <t>1.7t以下</t>
  </si>
  <si>
    <t>S50前</t>
  </si>
  <si>
    <t>-</t>
  </si>
  <si>
    <t>g/km</t>
  </si>
  <si>
    <t>S50</t>
  </si>
  <si>
    <t>H</t>
  </si>
  <si>
    <t>S54</t>
  </si>
  <si>
    <t>J</t>
  </si>
  <si>
    <t>S56</t>
  </si>
  <si>
    <t>L</t>
  </si>
  <si>
    <t>S63,H10</t>
  </si>
  <si>
    <t>R,GG,HL</t>
  </si>
  <si>
    <t>H12</t>
  </si>
  <si>
    <t>GJ,HP</t>
  </si>
  <si>
    <t>TB,XB</t>
  </si>
  <si>
    <t>LB,YB</t>
  </si>
  <si>
    <t>UB,ZB</t>
  </si>
  <si>
    <t>1.7-2.5t</t>
  </si>
  <si>
    <t>H元</t>
  </si>
  <si>
    <t>T</t>
  </si>
  <si>
    <t>H06,H10</t>
  </si>
  <si>
    <t>GA,GC,HG</t>
  </si>
  <si>
    <t>H13</t>
  </si>
  <si>
    <t>GK,HQ</t>
  </si>
  <si>
    <t>TC,XC</t>
  </si>
  <si>
    <t>LC,YC</t>
  </si>
  <si>
    <t>UC,ZC</t>
  </si>
  <si>
    <t>2.5-3.5t</t>
  </si>
  <si>
    <t>S54前</t>
  </si>
  <si>
    <t>S57</t>
  </si>
  <si>
    <t>M</t>
  </si>
  <si>
    <t>H04</t>
  </si>
  <si>
    <t>Z</t>
  </si>
  <si>
    <t>H07,H10</t>
  </si>
  <si>
    <t>GB,GE,HJ</t>
  </si>
  <si>
    <t>3.5t超</t>
  </si>
  <si>
    <t>g/km/t</t>
  </si>
  <si>
    <t>GL,HR</t>
  </si>
  <si>
    <t>A</t>
  </si>
  <si>
    <t>S51</t>
  </si>
  <si>
    <t>B,C</t>
  </si>
  <si>
    <t>S53,H10</t>
  </si>
  <si>
    <t>E,GF,HK</t>
  </si>
  <si>
    <t>GH,HN</t>
  </si>
  <si>
    <t>TA,XA</t>
  </si>
  <si>
    <t>LA,YA</t>
  </si>
  <si>
    <t>UA,ZA</t>
  </si>
  <si>
    <t>ディーゼル車の排出ガスの原単位</t>
  </si>
  <si>
    <t>ＰＭ</t>
  </si>
  <si>
    <t>K</t>
  </si>
  <si>
    <t>S57,S58</t>
  </si>
  <si>
    <t>N,P</t>
  </si>
  <si>
    <t>S63</t>
  </si>
  <si>
    <t>S</t>
  </si>
  <si>
    <t>H05</t>
  </si>
  <si>
    <t>KA</t>
  </si>
  <si>
    <t>H09</t>
  </si>
  <si>
    <t>KE,HA</t>
  </si>
  <si>
    <t>H14</t>
  </si>
  <si>
    <t>KP,HW</t>
  </si>
  <si>
    <t>KB</t>
  </si>
  <si>
    <t>H09,H10</t>
  </si>
  <si>
    <t>KF,HB,KJ,HE</t>
  </si>
  <si>
    <t>H15</t>
  </si>
  <si>
    <t>KQ,HX</t>
  </si>
  <si>
    <t>S63,H元</t>
  </si>
  <si>
    <t>S,U</t>
  </si>
  <si>
    <t>H06</t>
  </si>
  <si>
    <t>KC</t>
  </si>
  <si>
    <t>KG,HC</t>
  </si>
  <si>
    <t>KR,HY</t>
  </si>
  <si>
    <t>H元,H2</t>
  </si>
  <si>
    <t>U,W</t>
  </si>
  <si>
    <t>H10,H11</t>
  </si>
  <si>
    <t>KK,HF,KL,HM</t>
  </si>
  <si>
    <t>H15,H16</t>
  </si>
  <si>
    <t>KR,HY,KS,HZ</t>
  </si>
  <si>
    <t>S61,S62</t>
  </si>
  <si>
    <t>Q</t>
  </si>
  <si>
    <t>H2,H4</t>
  </si>
  <si>
    <t>X,Y</t>
  </si>
  <si>
    <t>H6</t>
  </si>
  <si>
    <t>KD</t>
  </si>
  <si>
    <t>H9,H10</t>
  </si>
  <si>
    <t>KE,HA,KH,HD</t>
  </si>
  <si>
    <t>KM,HT,KN,HU</t>
  </si>
  <si>
    <t>番号</t>
  </si>
  <si>
    <t>業種名</t>
  </si>
  <si>
    <t xml:space="preserve">農業                                            </t>
  </si>
  <si>
    <t xml:space="preserve">繊維・衣服等卸売業                              </t>
  </si>
  <si>
    <t xml:space="preserve">林業                                            </t>
  </si>
  <si>
    <t xml:space="preserve">飲食料品卸売業                                  </t>
  </si>
  <si>
    <t xml:space="preserve">漁業                                            </t>
  </si>
  <si>
    <t xml:space="preserve">水産養殖業                                      </t>
  </si>
  <si>
    <t xml:space="preserve">機械器具卸売業                                  </t>
  </si>
  <si>
    <t xml:space="preserve">鉱業                                            </t>
  </si>
  <si>
    <t xml:space="preserve">その他の卸売業                                  </t>
  </si>
  <si>
    <t xml:space="preserve">総合工事業                                      </t>
  </si>
  <si>
    <t xml:space="preserve">各種商品小売業                                  </t>
  </si>
  <si>
    <t xml:space="preserve">織物・衣服・身の回り品小売業                    </t>
  </si>
  <si>
    <t xml:space="preserve">設備工事業                                      </t>
  </si>
  <si>
    <t xml:space="preserve">飲食料品小売業                                  </t>
  </si>
  <si>
    <t xml:space="preserve">食料品製造業                                    </t>
  </si>
  <si>
    <t xml:space="preserve">自動車・自転車小売業                            </t>
  </si>
  <si>
    <t xml:space="preserve">家具・じゅう器・機械器具小売業                  </t>
  </si>
  <si>
    <t xml:space="preserve">その他の小売業                                  </t>
  </si>
  <si>
    <t xml:space="preserve">銀行業                                          </t>
  </si>
  <si>
    <t xml:space="preserve">協同組織金融業                                  </t>
  </si>
  <si>
    <t xml:space="preserve">家具・装備品製造業                              </t>
  </si>
  <si>
    <t xml:space="preserve">貸金業，投資業等非預金信用機関                  </t>
  </si>
  <si>
    <t xml:space="preserve">印刷・同関連業                                  </t>
  </si>
  <si>
    <t xml:space="preserve">証券業，商品先物取引業                          </t>
  </si>
  <si>
    <t xml:space="preserve">化学工業                                        </t>
  </si>
  <si>
    <t xml:space="preserve">補助的金融業， 金融附帯業                       </t>
  </si>
  <si>
    <t xml:space="preserve">不動産取引業                                    </t>
  </si>
  <si>
    <t xml:space="preserve">ゴム製品製造業                                  </t>
  </si>
  <si>
    <t xml:space="preserve">不動産賃貸業・管理業                            </t>
  </si>
  <si>
    <t xml:space="preserve">一般飲食店                                      </t>
  </si>
  <si>
    <t xml:space="preserve">遊興飲食店                                      </t>
  </si>
  <si>
    <t xml:space="preserve">宿泊業                                          </t>
  </si>
  <si>
    <t xml:space="preserve">医療業                                          </t>
  </si>
  <si>
    <t xml:space="preserve">保健衛生                                        </t>
  </si>
  <si>
    <t xml:space="preserve">社会保険・社会福祉・介護事業                    </t>
  </si>
  <si>
    <t xml:space="preserve">学校教育                                        </t>
  </si>
  <si>
    <t xml:space="preserve">その他の教育，学習支援業                        </t>
  </si>
  <si>
    <t xml:space="preserve">郵便局(別掲を除く）                             </t>
  </si>
  <si>
    <t xml:space="preserve">協同組合（他に分類されないもの）                </t>
  </si>
  <si>
    <t xml:space="preserve">専門サービス業（他に分類されないもの）          </t>
  </si>
  <si>
    <t xml:space="preserve">その他の製造業                                  </t>
  </si>
  <si>
    <t xml:space="preserve">学術・開発研究機関                              </t>
  </si>
  <si>
    <t xml:space="preserve">電気業                                          </t>
  </si>
  <si>
    <t xml:space="preserve">洗濯・理容・美容・浴場業                        </t>
  </si>
  <si>
    <t xml:space="preserve">ガス業                                          </t>
  </si>
  <si>
    <t xml:space="preserve">その他の生活関連サービス業                      </t>
  </si>
  <si>
    <t xml:space="preserve">熱供給業                                        </t>
  </si>
  <si>
    <t xml:space="preserve">娯楽業                                          </t>
  </si>
  <si>
    <t xml:space="preserve">水道業                                          </t>
  </si>
  <si>
    <t xml:space="preserve">廃棄物処理業                                    </t>
  </si>
  <si>
    <t xml:space="preserve">通信業                                          </t>
  </si>
  <si>
    <t xml:space="preserve">自動車整備業                                    </t>
  </si>
  <si>
    <t xml:space="preserve">放送業                                          </t>
  </si>
  <si>
    <t xml:space="preserve">機械等修理業（別掲を除く）                      </t>
  </si>
  <si>
    <t xml:space="preserve">情報サービス業                                  </t>
  </si>
  <si>
    <t xml:space="preserve">物品賃貸業                                      </t>
  </si>
  <si>
    <t xml:space="preserve">広告業                                          </t>
  </si>
  <si>
    <t xml:space="preserve">その他の事業サービス業                          </t>
  </si>
  <si>
    <t xml:space="preserve">鉄道業                                          </t>
  </si>
  <si>
    <t xml:space="preserve">政治・経済・文化団体                            </t>
  </si>
  <si>
    <t xml:space="preserve">道路旅客運送業                                  </t>
  </si>
  <si>
    <t xml:space="preserve">宗教                                            </t>
  </si>
  <si>
    <t xml:space="preserve">道路貨物運送業                                  </t>
  </si>
  <si>
    <t xml:space="preserve">その他のサービス業                              </t>
  </si>
  <si>
    <t xml:space="preserve">水運業                                          </t>
  </si>
  <si>
    <t xml:space="preserve">外国公務                                        </t>
  </si>
  <si>
    <t xml:space="preserve">航空運輸業                                      </t>
  </si>
  <si>
    <t xml:space="preserve">国家公務                                        </t>
  </si>
  <si>
    <t xml:space="preserve">倉庫業                                          </t>
  </si>
  <si>
    <t xml:space="preserve">地方公務                                        </t>
  </si>
  <si>
    <t xml:space="preserve">分類不能の産業                                  </t>
  </si>
  <si>
    <t xml:space="preserve">各種商品卸売業                                  </t>
  </si>
  <si>
    <t xml:space="preserve">26 一般機械器具製造業                              </t>
  </si>
  <si>
    <t xml:space="preserve">27 電気機械器具製造業                              </t>
  </si>
  <si>
    <t>28 情報通信機械器具製造業</t>
  </si>
  <si>
    <t>29 電子部品・デバイス製造業</t>
  </si>
  <si>
    <t xml:space="preserve">30 輸送用機械器具製造業        </t>
  </si>
  <si>
    <t xml:space="preserve">31 精密機械器具製造業                              </t>
  </si>
  <si>
    <t xml:space="preserve">32 その他の製造業                                  </t>
  </si>
  <si>
    <t xml:space="preserve">33 電気業                                          </t>
  </si>
  <si>
    <t xml:space="preserve">34 ガス業                                          </t>
  </si>
  <si>
    <t xml:space="preserve">35 熱供給業                                        </t>
  </si>
  <si>
    <t xml:space="preserve">36 水道業                                          </t>
  </si>
  <si>
    <t xml:space="preserve">37 通信業                                          </t>
  </si>
  <si>
    <t xml:space="preserve">38 放送業                                          </t>
  </si>
  <si>
    <t xml:space="preserve">39 情報サービス業                                  </t>
  </si>
  <si>
    <t>40 インターネット附随サービス業</t>
  </si>
  <si>
    <t>41 映像・音声・文字情報制作業</t>
  </si>
  <si>
    <t xml:space="preserve">42 鉄道業                                          </t>
  </si>
  <si>
    <t xml:space="preserve">43 道路旅客運送業                                  </t>
  </si>
  <si>
    <t xml:space="preserve">44 道路貨物運送業                                  </t>
  </si>
  <si>
    <t xml:space="preserve">45 水運業                                          </t>
  </si>
  <si>
    <t xml:space="preserve">46 航空運輸業                                      </t>
  </si>
  <si>
    <t xml:space="preserve">47 倉庫業                                          </t>
  </si>
  <si>
    <t>48 運輸に附帯するサービス業</t>
  </si>
  <si>
    <t xml:space="preserve">49 各種商品卸売業                                  </t>
  </si>
  <si>
    <t xml:space="preserve">50 繊維・衣服等卸売業                              </t>
  </si>
  <si>
    <t xml:space="preserve">51 飲食料品卸売業                                  </t>
  </si>
  <si>
    <t>52 建築材料， 鉱物・金属材料等卸売業</t>
  </si>
  <si>
    <t xml:space="preserve">53 機械器具卸売業                                  </t>
  </si>
  <si>
    <t xml:space="preserve">54 その他の卸売業                                  </t>
  </si>
  <si>
    <t xml:space="preserve">55 各種商品小売業                                  </t>
  </si>
  <si>
    <t xml:space="preserve">56 織物・衣服・身の回り品小売業                    </t>
  </si>
  <si>
    <t xml:space="preserve">57 飲食料品小売業                                  </t>
  </si>
  <si>
    <t xml:space="preserve">58 自動車・自転車小売業                            </t>
  </si>
  <si>
    <t xml:space="preserve">59 家具・じゅう器・機械器具小売業                  </t>
  </si>
  <si>
    <t xml:space="preserve">60 その他の小売業                                  </t>
  </si>
  <si>
    <t xml:space="preserve">61 銀行業                                          </t>
  </si>
  <si>
    <t xml:space="preserve">62 協同組織金融業                                  </t>
  </si>
  <si>
    <t xml:space="preserve">63 郵便貯金取扱機関，政府関係金融機関              </t>
  </si>
  <si>
    <t xml:space="preserve">64 貸金業，投資業等非預金信用機関                  </t>
  </si>
  <si>
    <t>平成17年度末までの更新予定</t>
  </si>
  <si>
    <t>乗用</t>
  </si>
  <si>
    <t>貨物</t>
  </si>
  <si>
    <t xml:space="preserve">65 証券業，商品先物取引業                          </t>
  </si>
  <si>
    <t xml:space="preserve">66 補助的金融業， 金融附帯業                       </t>
  </si>
  <si>
    <t>67 保険業（保険媒介代理業，保険サービス業を含む）</t>
  </si>
  <si>
    <t xml:space="preserve">68 不動産取引業                                    </t>
  </si>
  <si>
    <t xml:space="preserve">69 不動産賃貸業・管理業                            </t>
  </si>
  <si>
    <t xml:space="preserve">70 一般飲食店                                      </t>
  </si>
  <si>
    <t xml:space="preserve">71 遊興飲食店                                      </t>
  </si>
  <si>
    <t xml:space="preserve">72 宿泊業                                          </t>
  </si>
  <si>
    <t xml:space="preserve">73 医療業                                          </t>
  </si>
  <si>
    <t xml:space="preserve">74 保健衛生                                        </t>
  </si>
  <si>
    <t xml:space="preserve">75 社会保険・社会福祉・介護事業                    </t>
  </si>
  <si>
    <t xml:space="preserve">76 学校教育                                        </t>
  </si>
  <si>
    <t xml:space="preserve">77 その他の教育，学習支援業                        </t>
  </si>
  <si>
    <t xml:space="preserve">78 郵便局(別掲を除く）                             </t>
  </si>
  <si>
    <t xml:space="preserve">79 協同組合（他に分類されないもの）                </t>
  </si>
  <si>
    <t xml:space="preserve">80 専門サービス業（他に分類されないもの）          </t>
  </si>
  <si>
    <t xml:space="preserve">81 学術・開発研究機関                              </t>
  </si>
  <si>
    <t xml:space="preserve">82 洗濯・理容・美容・浴場業                        </t>
  </si>
  <si>
    <t xml:space="preserve">83 その他の生活関連サービス業                      </t>
  </si>
  <si>
    <t xml:space="preserve">84 娯楽業                                          </t>
  </si>
  <si>
    <t xml:space="preserve">85 廃棄物処理業                                    </t>
  </si>
  <si>
    <t xml:space="preserve">86 自動車整備業                                    </t>
  </si>
  <si>
    <t xml:space="preserve">87 機械等修理業（別掲を除く）                      </t>
  </si>
  <si>
    <t xml:space="preserve">88 物品賃貸業                                      </t>
  </si>
  <si>
    <t xml:space="preserve">89 広告業                                          </t>
  </si>
  <si>
    <t xml:space="preserve">90 その他の事業サービス業                          </t>
  </si>
  <si>
    <t xml:space="preserve">91 政治・経済・文化団体                            </t>
  </si>
  <si>
    <t xml:space="preserve">92 宗教                                            </t>
  </si>
  <si>
    <t xml:space="preserve">93 その他のサービス業                              </t>
  </si>
  <si>
    <t xml:space="preserve">94 外国公務                                        </t>
  </si>
  <si>
    <t xml:space="preserve">95 国家公務                                        </t>
  </si>
  <si>
    <t xml:space="preserve">96 地方公務                                        </t>
  </si>
  <si>
    <t xml:space="preserve">99 分類不能の産業                                  </t>
  </si>
  <si>
    <t>日本標準産業分類中分類（平成14年改訂版）</t>
  </si>
  <si>
    <t>ハイブリッド(ガソリン)</t>
  </si>
  <si>
    <t>ハイブリッド(ガソリン)</t>
  </si>
  <si>
    <t>ハイブリッド(ガソリン)</t>
  </si>
  <si>
    <t>軽油（その他のLEV6）</t>
  </si>
  <si>
    <t>軽油（その他のLEV-6）</t>
  </si>
  <si>
    <t>コード</t>
  </si>
  <si>
    <t>３．自動車排出窒素酸化物及び自動車排出粒子状物質の排出量</t>
  </si>
  <si>
    <t>現況</t>
  </si>
  <si>
    <t>役職</t>
  </si>
  <si>
    <t>氏名</t>
  </si>
  <si>
    <t>電話番号</t>
  </si>
  <si>
    <t>ファクシミリ番号</t>
  </si>
  <si>
    <t>電子メールアドレス</t>
  </si>
  <si>
    <t>市町村コード</t>
  </si>
  <si>
    <t>市区町村名(昇順)</t>
  </si>
  <si>
    <t>軽油</t>
  </si>
  <si>
    <t>※事業者コード</t>
  </si>
  <si>
    <t>町名番地等</t>
  </si>
  <si>
    <t>kg</t>
  </si>
  <si>
    <t>重量（排出量計算用）</t>
  </si>
  <si>
    <t>乗じる値（ＮＯｘ）</t>
  </si>
  <si>
    <t>乗じる値（ＰＭ）</t>
  </si>
  <si>
    <t>種別１</t>
  </si>
  <si>
    <t>種別２</t>
  </si>
  <si>
    <t>種別記号１</t>
  </si>
  <si>
    <t>種別記号２</t>
  </si>
  <si>
    <t>(改)</t>
  </si>
  <si>
    <t>バ</t>
  </si>
  <si>
    <t>ガ</t>
  </si>
  <si>
    <t>02月</t>
  </si>
  <si>
    <t>03月</t>
  </si>
  <si>
    <t>04月</t>
  </si>
  <si>
    <t>05月</t>
  </si>
  <si>
    <t>06月</t>
  </si>
  <si>
    <t>07月</t>
  </si>
  <si>
    <t>08月</t>
  </si>
  <si>
    <t>09月</t>
  </si>
  <si>
    <t>バ</t>
  </si>
  <si>
    <t>台数区分</t>
  </si>
  <si>
    <t>業種コード</t>
  </si>
  <si>
    <t>4.乗用車</t>
  </si>
  <si>
    <t>03.ハイブリッド(軽油）</t>
  </si>
  <si>
    <t>04.電気</t>
  </si>
  <si>
    <t>ガ</t>
  </si>
  <si>
    <t>ガ</t>
  </si>
  <si>
    <t>ＮＯＸ</t>
  </si>
  <si>
    <t>ＰＭ</t>
  </si>
  <si>
    <t>小型貨物</t>
  </si>
  <si>
    <t>重量(原単位用）</t>
  </si>
  <si>
    <t>5.特種車(乗用系)</t>
  </si>
  <si>
    <t>6.特種車(普通貨物系)</t>
  </si>
  <si>
    <t>7.特種車(小型貨物系)</t>
  </si>
  <si>
    <t>8.特種車(バス)</t>
  </si>
  <si>
    <t>排出量の現状</t>
  </si>
  <si>
    <t>重量（総括表用）</t>
  </si>
  <si>
    <t>重量（代替計画）</t>
  </si>
  <si>
    <t>2002(平成14)年度</t>
  </si>
  <si>
    <t>2003(平成15)年度</t>
  </si>
  <si>
    <t>2004(平成16)年度</t>
  </si>
  <si>
    <t>2005(平成17)年度</t>
  </si>
  <si>
    <t>普通貨物3.5t以下</t>
  </si>
  <si>
    <t>普通貨物3.5t超5t以下</t>
  </si>
  <si>
    <t>普通貨物5t超</t>
  </si>
  <si>
    <t>燃料（導入計画）</t>
  </si>
  <si>
    <t>導入計画記号</t>
  </si>
  <si>
    <t>メ</t>
  </si>
  <si>
    <t>排出係数一覧</t>
  </si>
  <si>
    <t>排出係数一覧（昇順）</t>
  </si>
  <si>
    <t>乗0CUN</t>
  </si>
  <si>
    <t>うち低公害車の台数</t>
  </si>
  <si>
    <t>うちＤＰＦ装着台数</t>
  </si>
  <si>
    <t>自動車の種別</t>
  </si>
  <si>
    <t>換算率</t>
  </si>
  <si>
    <t>種類</t>
  </si>
  <si>
    <t>普通貨物車3.5ｔ未満</t>
  </si>
  <si>
    <t xml:space="preserve"> 〃 3.5ｔ以上5ｔ未満</t>
  </si>
  <si>
    <t xml:space="preserve"> 〃 5ｔ以上</t>
  </si>
  <si>
    <t>小型貨物車</t>
  </si>
  <si>
    <t>ガソリン超</t>
  </si>
  <si>
    <t>ガソリン優</t>
  </si>
  <si>
    <t>バス</t>
  </si>
  <si>
    <t>ガソリン良</t>
  </si>
  <si>
    <t>旧ＬＥＶ等</t>
  </si>
  <si>
    <t>　自動車の種別、燃料の種類ごとの自動車の台数（現状）</t>
  </si>
  <si>
    <t>ガソリン（超）</t>
  </si>
  <si>
    <t>ガソリン（優）</t>
  </si>
  <si>
    <t>ガソリン（良）</t>
  </si>
  <si>
    <t>ガソリン（他LEV）</t>
  </si>
  <si>
    <t>軽油（他ＬＥＶ）</t>
  </si>
  <si>
    <t>軽油（その他）</t>
  </si>
  <si>
    <t>普通貨物3.5t以下</t>
  </si>
  <si>
    <t>普通貨物3.5t超5t以下</t>
  </si>
  <si>
    <t>普通貨物5t超</t>
  </si>
  <si>
    <t>分子</t>
  </si>
  <si>
    <t>分母</t>
  </si>
  <si>
    <t>自動車の種別ごとの換算率（仮）</t>
  </si>
  <si>
    <t>％</t>
  </si>
  <si>
    <t>ガソリン（その他）</t>
  </si>
  <si>
    <t>　自動車の種別、燃料の種類ごとの自動車の台数（平成１７年度末）</t>
  </si>
  <si>
    <t>低公害車等の種類ごとの換算率（仮）</t>
  </si>
  <si>
    <t>電気</t>
  </si>
  <si>
    <t>天然ガス</t>
  </si>
  <si>
    <t>kg</t>
  </si>
  <si>
    <t>(1)</t>
  </si>
  <si>
    <t>バス</t>
  </si>
  <si>
    <t>(2)</t>
  </si>
  <si>
    <t>②</t>
  </si>
  <si>
    <t>平成17年度末</t>
  </si>
  <si>
    <t>ハイブリッド軽油</t>
  </si>
  <si>
    <t>ハイブリッドガソリン</t>
  </si>
  <si>
    <t>メタノール</t>
  </si>
  <si>
    <t>ＬＰＧ</t>
  </si>
  <si>
    <t>確定</t>
  </si>
  <si>
    <t>未定</t>
  </si>
  <si>
    <t>小</t>
  </si>
  <si>
    <t>未記入台数</t>
  </si>
  <si>
    <t>低公害車</t>
  </si>
  <si>
    <t>ガソリン・ＬＰＧ</t>
  </si>
  <si>
    <t>総括</t>
  </si>
  <si>
    <t>５．特定自動車代替、排出ガス低減装置装着計画</t>
  </si>
  <si>
    <t>年次計画作成用</t>
  </si>
  <si>
    <t>市区町村名</t>
  </si>
  <si>
    <t>コード</t>
  </si>
  <si>
    <t>10.ガソリン（その他）</t>
  </si>
  <si>
    <t>年</t>
  </si>
  <si>
    <t>ＮＯｘ</t>
  </si>
  <si>
    <t>ＰＭ</t>
  </si>
  <si>
    <t>６．車両走行量の削減の計画</t>
  </si>
  <si>
    <t>平成１７年度末の状況</t>
  </si>
  <si>
    <t>％削減</t>
  </si>
  <si>
    <t>現状の台数</t>
  </si>
  <si>
    <t>減少台数</t>
  </si>
  <si>
    <t>新規使用台数</t>
  </si>
  <si>
    <t>台数</t>
  </si>
  <si>
    <t>合　　計</t>
  </si>
  <si>
    <t>減　　少</t>
  </si>
  <si>
    <t>自動車使用管理計画書</t>
  </si>
  <si>
    <t>１．特定事業者の概要</t>
  </si>
  <si>
    <t>２．事業場別の特定自動車の状況</t>
  </si>
  <si>
    <t>※整理番号</t>
  </si>
  <si>
    <t>備考　※印の欄には、記入しないでください。</t>
  </si>
  <si>
    <t>　自動車から排出される窒素酸化物及び粒子状物質の特定地域における総量の削減等に関する特別措置法第１７条の規定に基づき、別添のとおり自動車使用管理計画書を提出します。</t>
  </si>
  <si>
    <t>1.7t以下</t>
  </si>
  <si>
    <t>1.7t超～2.5t以下</t>
  </si>
  <si>
    <t>2.5t超～3.5t以下</t>
  </si>
  <si>
    <t>3.5t超</t>
  </si>
  <si>
    <t>排ガス記号大文字</t>
  </si>
  <si>
    <t>乗</t>
  </si>
  <si>
    <t>貨</t>
  </si>
  <si>
    <t>軽</t>
  </si>
  <si>
    <t>暫定排出係数（ＮＯｘ）</t>
  </si>
  <si>
    <t>暫定排出係数（ＰＭ）</t>
  </si>
  <si>
    <t>引数</t>
  </si>
  <si>
    <t>ＮＯｘ排出係数</t>
  </si>
  <si>
    <t>ＰＭ排出係数</t>
  </si>
  <si>
    <t>貨1軽K</t>
  </si>
  <si>
    <t>貨1軽N</t>
  </si>
  <si>
    <t>貨1軽P</t>
  </si>
  <si>
    <t>貨1軽S</t>
  </si>
  <si>
    <t>貨1軽KA</t>
  </si>
  <si>
    <t>貨1軽KE</t>
  </si>
  <si>
    <t>貨1軽HA</t>
  </si>
  <si>
    <t>貨1軽KP</t>
  </si>
  <si>
    <t>貨1軽HW</t>
  </si>
  <si>
    <t>貨2軽K</t>
  </si>
  <si>
    <t>貨2軽N</t>
  </si>
  <si>
    <t>貨2軽P</t>
  </si>
  <si>
    <t>貨2軽S</t>
  </si>
  <si>
    <t>貨2軽KB</t>
  </si>
  <si>
    <t>貨2軽KF</t>
  </si>
  <si>
    <t>貨2軽HB</t>
  </si>
  <si>
    <t>貨2軽KJ</t>
  </si>
  <si>
    <t>貨2軽HE</t>
  </si>
  <si>
    <t>貨2軽KQ</t>
  </si>
  <si>
    <t>貨2軽HX</t>
  </si>
  <si>
    <t>貨3軽K</t>
  </si>
  <si>
    <t>貨3軽N</t>
  </si>
  <si>
    <t>貨3軽P</t>
  </si>
  <si>
    <t>貨3軽S</t>
  </si>
  <si>
    <t>貨3軽U</t>
  </si>
  <si>
    <t>予定</t>
  </si>
  <si>
    <t>貨3軽KG</t>
  </si>
  <si>
    <t>貨3軽KC</t>
  </si>
  <si>
    <t>貨3軽KR</t>
  </si>
  <si>
    <t>貨3軽HC</t>
  </si>
  <si>
    <t>貨3軽HY</t>
  </si>
  <si>
    <t>貨4軽K</t>
  </si>
  <si>
    <t>貨4軽N</t>
  </si>
  <si>
    <t>貨4軽P</t>
  </si>
  <si>
    <t>貨4軽U</t>
  </si>
  <si>
    <t>貨4軽W</t>
  </si>
  <si>
    <t>貨4軽KC</t>
  </si>
  <si>
    <t>貨4軽KK</t>
  </si>
  <si>
    <t>貨4軽HF</t>
  </si>
  <si>
    <t>貨4軽KL</t>
  </si>
  <si>
    <t>貨4軽HM</t>
  </si>
  <si>
    <t>貨4軽KR</t>
  </si>
  <si>
    <t>貨4軽HY</t>
  </si>
  <si>
    <t>貨4軽KS</t>
  </si>
  <si>
    <t>貨4軽HZ</t>
  </si>
  <si>
    <t>貨1ガH</t>
  </si>
  <si>
    <t>貨1ガJ</t>
  </si>
  <si>
    <t>貨1ガL</t>
  </si>
  <si>
    <t>貨1ガR</t>
  </si>
  <si>
    <t>貨1ガGG</t>
  </si>
  <si>
    <t>貨1ガHL</t>
  </si>
  <si>
    <t>貨1ガGJ</t>
  </si>
  <si>
    <t>貨1ガHP</t>
  </si>
  <si>
    <t>貨2ガH</t>
  </si>
  <si>
    <t>貨2ガJ</t>
  </si>
  <si>
    <t>貨2ガL</t>
  </si>
  <si>
    <t>貨2ガT</t>
  </si>
  <si>
    <t>貨2ガGA</t>
  </si>
  <si>
    <t>貨2ガGC</t>
  </si>
  <si>
    <t>貨2ガHG</t>
  </si>
  <si>
    <t>貨2ガGK</t>
  </si>
  <si>
    <t>貨2ガHQ</t>
  </si>
  <si>
    <t>貨3ガJ</t>
  </si>
  <si>
    <t>貨3ガM</t>
  </si>
  <si>
    <t>貨3ガT</t>
  </si>
  <si>
    <t>貨3ガZ</t>
  </si>
  <si>
    <t>貨3ガGB</t>
  </si>
  <si>
    <t>貨3ガGE</t>
  </si>
  <si>
    <t>貨3ガHJ</t>
  </si>
  <si>
    <t>貨3ガGK</t>
  </si>
  <si>
    <t>貨3ガHQ</t>
  </si>
  <si>
    <t>貨4ガJ</t>
  </si>
  <si>
    <t>貨4ガM</t>
  </si>
  <si>
    <t>貨4ガT</t>
  </si>
  <si>
    <t>貨4ガZ</t>
  </si>
  <si>
    <t>貨4ガGB</t>
  </si>
  <si>
    <t>貨4ガGE</t>
  </si>
  <si>
    <t>貨4ガHJ</t>
  </si>
  <si>
    <t>貨4ガGL</t>
  </si>
  <si>
    <t>貨4ガHR</t>
  </si>
  <si>
    <t>事業場コード</t>
  </si>
  <si>
    <t>事業者コード</t>
  </si>
  <si>
    <t>燃料記号</t>
  </si>
  <si>
    <t>排出係数特定記号</t>
  </si>
  <si>
    <t>月</t>
  </si>
  <si>
    <t>10月</t>
  </si>
  <si>
    <t>11月</t>
  </si>
  <si>
    <t>12月</t>
  </si>
  <si>
    <t>代替年数</t>
  </si>
  <si>
    <t>1975(昭和50)年</t>
  </si>
  <si>
    <t>1974(昭和49)年以前</t>
  </si>
  <si>
    <t>1976(昭和51)年</t>
  </si>
  <si>
    <t>1977(昭和52)年</t>
  </si>
  <si>
    <t>1978(昭和53)年</t>
  </si>
  <si>
    <t>1979(昭和54)年</t>
  </si>
  <si>
    <t>1980(昭和55)年</t>
  </si>
  <si>
    <t>1981(昭和56)年</t>
  </si>
  <si>
    <t>1982(昭和57)年</t>
  </si>
  <si>
    <t>1983(昭和58)年</t>
  </si>
  <si>
    <r>
      <t>その他の措置
(</t>
    </r>
    <r>
      <rPr>
        <sz val="11"/>
        <rFont val="ＭＳ Ｐゴシック"/>
        <family val="3"/>
      </rPr>
      <t xml:space="preserve">              )</t>
    </r>
  </si>
  <si>
    <t>1984(昭和59)年</t>
  </si>
  <si>
    <t>1985(昭和60)年</t>
  </si>
  <si>
    <t>1986(昭和61)年</t>
  </si>
  <si>
    <t>1987(昭和62)年</t>
  </si>
  <si>
    <t>1988(昭和63)年</t>
  </si>
  <si>
    <t>1989(平成元)年</t>
  </si>
  <si>
    <t>1990(平成2)年</t>
  </si>
  <si>
    <t>1991(平成3)年</t>
  </si>
  <si>
    <t>1992(平成4)年</t>
  </si>
  <si>
    <t>1993(平成5)年</t>
  </si>
  <si>
    <t>1994(平成6)年</t>
  </si>
  <si>
    <t>1995(平成7)年</t>
  </si>
  <si>
    <t>1996(平成8)年</t>
  </si>
  <si>
    <t>1997(平成9)年</t>
  </si>
  <si>
    <t>1998(平成10)年</t>
  </si>
  <si>
    <t>1999(平成11)年</t>
  </si>
  <si>
    <t>2000(平成12)年</t>
  </si>
  <si>
    <t>2001(平成13)年</t>
  </si>
  <si>
    <t>2002(平成14)年</t>
  </si>
  <si>
    <t>01月</t>
  </si>
  <si>
    <t>合計</t>
  </si>
  <si>
    <t>総括表作成記号</t>
  </si>
  <si>
    <t>乗0ガA</t>
  </si>
  <si>
    <t>乗0ガB</t>
  </si>
  <si>
    <t>乗0ガC</t>
  </si>
  <si>
    <t>乗0ガE</t>
  </si>
  <si>
    <t>乗0ガGF</t>
  </si>
  <si>
    <t>乗0ガGH</t>
  </si>
  <si>
    <t>乗0ガHK</t>
  </si>
  <si>
    <t>乗0ガHN</t>
  </si>
  <si>
    <t>乗0ガLA</t>
  </si>
  <si>
    <t>乗0ガTA</t>
  </si>
  <si>
    <t>乗0ガXA</t>
  </si>
  <si>
    <t>乗0ガUA</t>
  </si>
  <si>
    <t>乗0ガYA</t>
  </si>
  <si>
    <t>乗0ガZA</t>
  </si>
  <si>
    <t>乗0軽HA</t>
  </si>
  <si>
    <t>乗0軽K</t>
  </si>
  <si>
    <t>乗0軽HD</t>
  </si>
  <si>
    <t>乗0軽N</t>
  </si>
  <si>
    <t>乗0軽HT</t>
  </si>
  <si>
    <t>乗0軽P</t>
  </si>
  <si>
    <t>乗0軽HU</t>
  </si>
  <si>
    <t>乗0軽Q</t>
  </si>
  <si>
    <t>乗0軽X</t>
  </si>
  <si>
    <t>乗0軽KD</t>
  </si>
  <si>
    <t>乗0軽Y</t>
  </si>
  <si>
    <t>乗0軽KE</t>
  </si>
  <si>
    <t>乗0軽KH</t>
  </si>
  <si>
    <t>乗0軽KM</t>
  </si>
  <si>
    <t>乗0軽KN</t>
  </si>
  <si>
    <t>平均代替年数</t>
  </si>
  <si>
    <t>減少台数記号</t>
  </si>
  <si>
    <t>電</t>
  </si>
  <si>
    <t>1.普通貨物車</t>
  </si>
  <si>
    <t>2.小型貨物車</t>
  </si>
  <si>
    <t>乗用系</t>
  </si>
  <si>
    <t>バス</t>
  </si>
  <si>
    <t>７．排出量の目標</t>
  </si>
  <si>
    <t>８．適正運転の実施等の計画</t>
  </si>
  <si>
    <t>＋</t>
  </si>
  <si>
    <t>＝</t>
  </si>
  <si>
    <t>バス</t>
  </si>
  <si>
    <t>氏名又は名称及び住所並びに法人にあってはその代表者の氏名</t>
  </si>
  <si>
    <t>　　　　　　　　　　　　　　　　　　　　　　　　</t>
  </si>
  <si>
    <t xml:space="preserve">
㊞</t>
  </si>
  <si>
    <r>
      <t>自動車排出窒素酸化物(N</t>
    </r>
    <r>
      <rPr>
        <sz val="11"/>
        <rFont val="ＭＳ Ｐゴシック"/>
        <family val="3"/>
      </rPr>
      <t>O</t>
    </r>
    <r>
      <rPr>
        <sz val="11"/>
        <rFont val="ＭＳ Ｐゴシック"/>
        <family val="3"/>
      </rPr>
      <t>x)</t>
    </r>
  </si>
  <si>
    <t>適正運転の実施</t>
  </si>
  <si>
    <t>グリーン配送の推進</t>
  </si>
  <si>
    <t>車両の適正な維持管理</t>
  </si>
  <si>
    <t>実施</t>
  </si>
  <si>
    <t>共同輸配送の促進</t>
  </si>
  <si>
    <t>帰り荷の確保</t>
  </si>
  <si>
    <t>ジャスト・イン・タイムサービスの改善</t>
  </si>
  <si>
    <t>受注時間と配送時間のルール化</t>
  </si>
  <si>
    <t>検品の簡略化</t>
  </si>
  <si>
    <t>道路混雑時の輸配送の見直し等</t>
  </si>
  <si>
    <t>商品の標準化等</t>
  </si>
  <si>
    <t>モーダルシフトの推進</t>
  </si>
  <si>
    <t>公共交通機関の利用の促進</t>
  </si>
  <si>
    <t>情報化の推進</t>
  </si>
  <si>
    <t>物流施設の高度化、物流拠点の整備等</t>
  </si>
  <si>
    <t>3.バス</t>
  </si>
  <si>
    <t>バス</t>
  </si>
  <si>
    <t>13.軽油(その他）</t>
  </si>
  <si>
    <t>３　日本標準産業分類　中分類</t>
  </si>
  <si>
    <t>建築材料， 鉱物・金属材料等卸売業</t>
  </si>
  <si>
    <t xml:space="preserve">職別工事業(設備工事業を除く)   </t>
  </si>
  <si>
    <t>繊維工業（衣服，その他の繊維製品を除く）</t>
  </si>
  <si>
    <t>衣服・その他の繊維製品製造業</t>
  </si>
  <si>
    <t xml:space="preserve">木材・木製品製造業（家具を除く）    </t>
  </si>
  <si>
    <t>郵便貯金取扱機関，政府関係金融機関</t>
  </si>
  <si>
    <t xml:space="preserve">パルプ・紙・紙加工品製造業         </t>
  </si>
  <si>
    <t xml:space="preserve">石油製品・石炭製品製造業    </t>
  </si>
  <si>
    <t>保険業（保険媒介代理業，保険サービス業を含む）</t>
  </si>
  <si>
    <t>プラスチック製品製造業（別掲を除く）</t>
  </si>
  <si>
    <t>なめし革・同製品・毛皮製造業</t>
  </si>
  <si>
    <t xml:space="preserve">輸送用機械器具製造業        </t>
  </si>
  <si>
    <t>インターネット附随サービス業</t>
  </si>
  <si>
    <t>映像・音声・文字情報制作業</t>
  </si>
  <si>
    <t>運輸に附帯するサービス業</t>
  </si>
  <si>
    <t xml:space="preserve">飲料・たばこ・飼料製造業       </t>
  </si>
  <si>
    <t xml:space="preserve">窯業・土石製品製造業                      </t>
  </si>
  <si>
    <t xml:space="preserve">鉄鋼業                                 </t>
  </si>
  <si>
    <t xml:space="preserve">非鉄金属製造業                                </t>
  </si>
  <si>
    <t xml:space="preserve">金属製品製造業                                </t>
  </si>
  <si>
    <t xml:space="preserve">一般機械器具製造業                      </t>
  </si>
  <si>
    <t xml:space="preserve">電気機械器具製造業                        </t>
  </si>
  <si>
    <t>情報通信機械器具製造業</t>
  </si>
  <si>
    <t>電子部品・デバイス製造業</t>
  </si>
  <si>
    <t xml:space="preserve">精密機械器具製造業                        </t>
  </si>
  <si>
    <t>　自動車の種別、燃料の種類ごとの台キロ（台ｋｍ）</t>
  </si>
  <si>
    <t>コードエラー</t>
  </si>
  <si>
    <t>要確認</t>
  </si>
  <si>
    <t>貨1ガTB</t>
  </si>
  <si>
    <t>貨1ガXB</t>
  </si>
  <si>
    <t>貨1ガLB</t>
  </si>
  <si>
    <t>貨1ガYB</t>
  </si>
  <si>
    <t>貨1ガUB</t>
  </si>
  <si>
    <t>貨1ガZB</t>
  </si>
  <si>
    <t>貨2ガTC</t>
  </si>
  <si>
    <t>貨2ガXC</t>
  </si>
  <si>
    <t>貨2ガLC</t>
  </si>
  <si>
    <t>貨2ガYC</t>
  </si>
  <si>
    <t>貨2ガUC</t>
  </si>
  <si>
    <t>貨2ガZC</t>
  </si>
  <si>
    <t>C</t>
  </si>
  <si>
    <t>貨1CH</t>
  </si>
  <si>
    <t>貨1CJ</t>
  </si>
  <si>
    <t>貨1CL</t>
  </si>
  <si>
    <t>貨1CR</t>
  </si>
  <si>
    <t>貨1CＳ</t>
  </si>
  <si>
    <t>貨1CKA</t>
  </si>
  <si>
    <t>貨1CKE</t>
  </si>
  <si>
    <t>貨1CGG</t>
  </si>
  <si>
    <t>貨1CGJ</t>
  </si>
  <si>
    <t>貨1CKP</t>
  </si>
  <si>
    <t>貨2CH</t>
  </si>
  <si>
    <t>貨2CJ</t>
  </si>
  <si>
    <t>貨2CL</t>
  </si>
  <si>
    <t>貨2CT</t>
  </si>
  <si>
    <t>貨2CＳ</t>
  </si>
  <si>
    <t>貨2CKB</t>
  </si>
  <si>
    <t>貨2CKF</t>
  </si>
  <si>
    <t>貨2CKJ</t>
  </si>
  <si>
    <t>貨2CGA</t>
  </si>
  <si>
    <t>貨2CGC</t>
  </si>
  <si>
    <t>貨2CGK</t>
  </si>
  <si>
    <t>貨2CKQ</t>
  </si>
  <si>
    <t>貨3CJ</t>
  </si>
  <si>
    <t>貨3CM</t>
  </si>
  <si>
    <t>貨3CT</t>
  </si>
  <si>
    <t>貨3CU</t>
  </si>
  <si>
    <t>貨3CKC</t>
  </si>
  <si>
    <t>貨3CKG</t>
  </si>
  <si>
    <t>貨3CZ</t>
  </si>
  <si>
    <t>貨3CGB</t>
  </si>
  <si>
    <t>貨3CGE</t>
  </si>
  <si>
    <t>貨3CGK</t>
  </si>
  <si>
    <t>貨3CKR</t>
  </si>
  <si>
    <t>貨4CJ</t>
  </si>
  <si>
    <t>貨4CM</t>
  </si>
  <si>
    <t>貨4CT</t>
  </si>
  <si>
    <t>貨4CZ</t>
  </si>
  <si>
    <t>貨4CGB</t>
  </si>
  <si>
    <t>貨4CGE</t>
  </si>
  <si>
    <t>貨4CGL</t>
  </si>
  <si>
    <t>貨4CK</t>
  </si>
  <si>
    <t>貨4CN</t>
  </si>
  <si>
    <t>貨4CP</t>
  </si>
  <si>
    <t>貨4CU</t>
  </si>
  <si>
    <t>貨4CW</t>
  </si>
  <si>
    <t>貨4CKC</t>
  </si>
  <si>
    <t>貨4CKK</t>
  </si>
  <si>
    <t>貨4CKL</t>
  </si>
  <si>
    <t>貨4CKR</t>
  </si>
  <si>
    <t>貨4CKS</t>
  </si>
  <si>
    <t>乗0CA</t>
  </si>
  <si>
    <t>乗0CB</t>
  </si>
  <si>
    <t>乗0CC</t>
  </si>
  <si>
    <t>乗0CE</t>
  </si>
  <si>
    <t>乗0CGF</t>
  </si>
  <si>
    <t>乗0CGH</t>
  </si>
  <si>
    <t>乗0CTA</t>
  </si>
  <si>
    <t>乗0CＴＮ</t>
  </si>
  <si>
    <t>乗0CLA</t>
  </si>
  <si>
    <t>乗0CＬＮ</t>
  </si>
  <si>
    <t>乗0CUA</t>
  </si>
  <si>
    <t>貨1CUP</t>
  </si>
  <si>
    <t>貨1CLP</t>
  </si>
  <si>
    <t>貨1CTP</t>
  </si>
  <si>
    <t>貨2CUQ</t>
  </si>
  <si>
    <t>貨2CLQ</t>
  </si>
  <si>
    <t>貨2CTQ</t>
  </si>
  <si>
    <t>貨3CS</t>
  </si>
  <si>
    <t>貨3CUQ</t>
  </si>
  <si>
    <t>貨3CLQ</t>
  </si>
  <si>
    <t>貨3CTQ</t>
  </si>
  <si>
    <t>貨4CS</t>
  </si>
  <si>
    <t>乗0CNA</t>
  </si>
  <si>
    <t>貨1CNC</t>
  </si>
  <si>
    <t>貨2CND</t>
  </si>
  <si>
    <t>貨3CNE</t>
  </si>
  <si>
    <t>貨4CNE</t>
  </si>
  <si>
    <t>６　排出係数</t>
  </si>
  <si>
    <t>平成　　年　　月　　日</t>
  </si>
  <si>
    <t>自動車使用管理計画書作成日</t>
  </si>
  <si>
    <t>特定事業者の氏名又は名称</t>
  </si>
  <si>
    <t>特定事業者となった日</t>
  </si>
  <si>
    <t>使用する特定自動車の台数</t>
  </si>
  <si>
    <t>従業員数</t>
  </si>
  <si>
    <t>資本金</t>
  </si>
  <si>
    <t>担当者役職･氏名及び連絡先</t>
  </si>
  <si>
    <t>事業場の名称</t>
  </si>
  <si>
    <t>事業場の所在地</t>
  </si>
  <si>
    <t>事業場の連絡先（電話番号）</t>
  </si>
  <si>
    <t>従業員数（人）</t>
  </si>
  <si>
    <t>運転者数(人）</t>
  </si>
  <si>
    <t>自動車の種別、車両総重量別の保有台数</t>
  </si>
  <si>
    <t>事業場コード</t>
  </si>
  <si>
    <t>車両コード</t>
  </si>
  <si>
    <t>自動車登録番号（下４桁）</t>
  </si>
  <si>
    <t>自動車の種別</t>
  </si>
  <si>
    <t>型式</t>
  </si>
  <si>
    <t>車両総重量(kg)</t>
  </si>
  <si>
    <t>燃料</t>
  </si>
  <si>
    <t>初度登録年月</t>
  </si>
  <si>
    <t>ＮＯｘ低減装置装着</t>
  </si>
  <si>
    <t>ＤＰＦ装着</t>
  </si>
  <si>
    <t>排出係数</t>
  </si>
  <si>
    <t>走行距離（km）</t>
  </si>
  <si>
    <t>排出量(kg)</t>
  </si>
  <si>
    <t>有無</t>
  </si>
  <si>
    <t>更新予定年度</t>
  </si>
  <si>
    <t>車種</t>
  </si>
  <si>
    <t>計画事項</t>
  </si>
  <si>
    <t>内容</t>
  </si>
  <si>
    <t>換算走行量</t>
  </si>
  <si>
    <t>走行量削減率</t>
  </si>
  <si>
    <t>走行量の現状</t>
  </si>
  <si>
    <t>走行量の目標</t>
  </si>
  <si>
    <t>評価ポイント
(走行量の削減)</t>
  </si>
  <si>
    <t>総合評価ポイント</t>
  </si>
  <si>
    <r>
      <t xml:space="preserve">その他の措置
( </t>
    </r>
    <r>
      <rPr>
        <sz val="11"/>
        <rFont val="ＭＳ Ｐゴシック"/>
        <family val="3"/>
      </rPr>
      <t xml:space="preserve">            </t>
    </r>
    <r>
      <rPr>
        <sz val="11"/>
        <rFont val="ＭＳ Ｐゴシック"/>
        <family val="3"/>
      </rPr>
      <t xml:space="preserve"> </t>
    </r>
    <r>
      <rPr>
        <sz val="11"/>
        <rFont val="ＭＳ Ｐゴシック"/>
        <family val="3"/>
      </rPr>
      <t>)</t>
    </r>
  </si>
  <si>
    <t>神戸市兵庫区</t>
  </si>
  <si>
    <t>神戸市長田区</t>
  </si>
  <si>
    <t>神戸市須磨区</t>
  </si>
  <si>
    <t>神戸市垂水区</t>
  </si>
  <si>
    <t>神戸市東灘区</t>
  </si>
  <si>
    <t>神戸市灘区</t>
  </si>
  <si>
    <t>神戸市中央区</t>
  </si>
  <si>
    <t>神戸市西区</t>
  </si>
  <si>
    <t>姫路市</t>
  </si>
  <si>
    <t>尼崎市</t>
  </si>
  <si>
    <t>芦屋市</t>
  </si>
  <si>
    <t>伊丹市</t>
  </si>
  <si>
    <t>加古川市</t>
  </si>
  <si>
    <t>宝塚市</t>
  </si>
  <si>
    <t>高砂市</t>
  </si>
  <si>
    <t>川西市</t>
  </si>
  <si>
    <t>加古郡播磨町</t>
  </si>
  <si>
    <t>市区町</t>
  </si>
  <si>
    <t>兵  庫  県　知　事　　様</t>
  </si>
  <si>
    <t>加古郡稲美町</t>
  </si>
  <si>
    <t>加西市</t>
  </si>
  <si>
    <t>神戸市北区</t>
  </si>
  <si>
    <t>加東郡社町</t>
  </si>
  <si>
    <t>加東郡滝野町</t>
  </si>
  <si>
    <t>加東郡東条町</t>
  </si>
  <si>
    <t>佐用郡佐用町</t>
  </si>
  <si>
    <t>明石市</t>
  </si>
  <si>
    <t>佐用郡三日月町</t>
  </si>
  <si>
    <t>西宮市</t>
  </si>
  <si>
    <t>佐用郡上月町</t>
  </si>
  <si>
    <t>洲本市</t>
  </si>
  <si>
    <t>佐用郡南光町</t>
  </si>
  <si>
    <t>三原郡三原町</t>
  </si>
  <si>
    <t>三原郡西淡町</t>
  </si>
  <si>
    <t>相生市</t>
  </si>
  <si>
    <t>三原郡南淡町</t>
  </si>
  <si>
    <t>豊岡市</t>
  </si>
  <si>
    <t>三原郡緑町</t>
  </si>
  <si>
    <t>三田市</t>
  </si>
  <si>
    <t>竜野市</t>
  </si>
  <si>
    <t>三木市</t>
  </si>
  <si>
    <t>赤穂市</t>
  </si>
  <si>
    <t>宍粟郡安富町</t>
  </si>
  <si>
    <t>西脇市</t>
  </si>
  <si>
    <t>宍粟郡一宮町</t>
  </si>
  <si>
    <t>宍粟郡山崎町</t>
  </si>
  <si>
    <t>宍粟郡千種町</t>
  </si>
  <si>
    <t>宍粟郡波賀町</t>
  </si>
  <si>
    <t>篠山市</t>
  </si>
  <si>
    <t>小野市</t>
  </si>
  <si>
    <t>出石郡出石町</t>
  </si>
  <si>
    <t>出石郡但東町</t>
  </si>
  <si>
    <t>川辺郡猪名川町</t>
  </si>
  <si>
    <t>美囊郡吉川町</t>
  </si>
  <si>
    <t>城崎郡香住町</t>
  </si>
  <si>
    <t>城崎郡城崎町</t>
  </si>
  <si>
    <t>城崎郡竹野町</t>
  </si>
  <si>
    <t>城崎郡日高町</t>
  </si>
  <si>
    <t>多可郡中町</t>
  </si>
  <si>
    <t>飾磨郡家島町</t>
  </si>
  <si>
    <t>多可郡加美町</t>
  </si>
  <si>
    <t>飾磨郡夢前町</t>
  </si>
  <si>
    <t>多可郡八千代町</t>
  </si>
  <si>
    <t>多可郡黒田庄町</t>
  </si>
  <si>
    <t>神崎郡神崎町</t>
  </si>
  <si>
    <t>神崎郡市川町</t>
  </si>
  <si>
    <t>神崎郡福崎町</t>
  </si>
  <si>
    <t>神崎郡香寺町</t>
  </si>
  <si>
    <t>神崎郡大河内町</t>
  </si>
  <si>
    <t>揖保郡新宮町</t>
  </si>
  <si>
    <t>揖保郡揖保川町</t>
  </si>
  <si>
    <t>揖保郡御津町</t>
  </si>
  <si>
    <t>揖保郡太子町</t>
  </si>
  <si>
    <t>赤穂郡上郡町</t>
  </si>
  <si>
    <t>朝来郡山東町</t>
  </si>
  <si>
    <t>朝来郡生野町</t>
  </si>
  <si>
    <t>朝来郡朝来町</t>
  </si>
  <si>
    <t>朝来郡和田山町</t>
  </si>
  <si>
    <t>津名郡一宮町</t>
  </si>
  <si>
    <t>津名郡五色町</t>
  </si>
  <si>
    <t>美方郡村岡町</t>
  </si>
  <si>
    <t>津名郡淡路町</t>
  </si>
  <si>
    <t>美方郡浜坂町</t>
  </si>
  <si>
    <t>津名郡津名町</t>
  </si>
  <si>
    <t>美方郡美方町</t>
  </si>
  <si>
    <t>津名郡東浦町</t>
  </si>
  <si>
    <t>美方郡温泉町</t>
  </si>
  <si>
    <t>津名郡北淡町</t>
  </si>
  <si>
    <t>養父郡八鹿町</t>
  </si>
  <si>
    <t>養父郡養父町</t>
  </si>
  <si>
    <t>養父郡大屋町</t>
  </si>
  <si>
    <t>養父郡関宮町</t>
  </si>
  <si>
    <t>氷上郡山南町</t>
  </si>
  <si>
    <t>氷上郡柏原町</t>
  </si>
  <si>
    <t>氷上郡市島町</t>
  </si>
  <si>
    <t>氷上郡氷上町</t>
  </si>
  <si>
    <t>氷上郡春日町</t>
  </si>
  <si>
    <t>氷上郡青垣町</t>
  </si>
  <si>
    <t>（Ｅ-ｍａｉｌ等での提出の有無　　有・無）</t>
  </si>
  <si>
    <t>兵庫県における主たる事業場の名称及び所在地</t>
  </si>
  <si>
    <t>名称</t>
  </si>
  <si>
    <t>自動車使用管理計画書の提出について</t>
  </si>
  <si>
    <t>４．低公害車等導入計画</t>
  </si>
  <si>
    <t>低公害車等導入率</t>
  </si>
  <si>
    <t>評価ポイント（低公害車等の導入）</t>
  </si>
  <si>
    <t>低公害車等導入評価ポイント計算シート</t>
  </si>
  <si>
    <t>評価ポイント
(低公害車等の導入)</t>
  </si>
  <si>
    <t>（１３年度）</t>
  </si>
  <si>
    <t>（１７年度）</t>
  </si>
  <si>
    <t>2005（平成17）年</t>
  </si>
  <si>
    <t>2004（平成16）年</t>
  </si>
  <si>
    <t>2003（平成15）年</t>
  </si>
  <si>
    <t>2002（平成14）年</t>
  </si>
  <si>
    <t>2001（平成13）年</t>
  </si>
  <si>
    <t>2000（平成12）年</t>
  </si>
  <si>
    <t>1999（平成11）年</t>
  </si>
  <si>
    <t>1998（平成10）年</t>
  </si>
  <si>
    <t>1997（平成9）年</t>
  </si>
  <si>
    <t>1996（平成8）年</t>
  </si>
  <si>
    <t>1995（平成7）年</t>
  </si>
  <si>
    <t>1994（平成6）年</t>
  </si>
  <si>
    <t>1993（平成5）年</t>
  </si>
  <si>
    <t>1992（平成4）年</t>
  </si>
  <si>
    <t>1991（平成3）年</t>
  </si>
  <si>
    <t>1990（平成2）年</t>
  </si>
  <si>
    <t>1989（平成元）年</t>
  </si>
  <si>
    <t>1988（昭和63）年</t>
  </si>
  <si>
    <t>1987（昭和62）年</t>
  </si>
  <si>
    <t>1986（昭和61）年</t>
  </si>
  <si>
    <t>1985（昭和60）年</t>
  </si>
  <si>
    <t>1984（昭和59）年</t>
  </si>
  <si>
    <t>1983（昭和58）年</t>
  </si>
  <si>
    <t>1982（昭和57）年</t>
  </si>
  <si>
    <t>1981（昭和56）年</t>
  </si>
  <si>
    <t>1980（昭和55）年</t>
  </si>
  <si>
    <t>1979（昭和54）年</t>
  </si>
  <si>
    <t>1978（昭和53）年</t>
  </si>
  <si>
    <t>1977（昭和52）年</t>
  </si>
  <si>
    <t>1976（昭和51）年</t>
  </si>
  <si>
    <t>1975（昭和50）年</t>
  </si>
  <si>
    <t>1974（昭和49）年以前</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</si>
</sst>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quot;年&quot;m&quot;月&quot;;@"/>
    <numFmt numFmtId="178" formatCode="[$-411]ggge&quot;年&quot;m&quot;月&quot;d&quot;日&quot;;@"/>
    <numFmt numFmtId="179" formatCode="[$-411]ggge&quot;年&quot;m&quot;月&quot;"/>
    <numFmt numFmtId="180" formatCode="0.0_ "/>
    <numFmt numFmtId="181" formatCode="0_ "/>
    <numFmt numFmtId="182" formatCode="[&lt;&gt;0]General"/>
    <numFmt numFmtId="183" formatCode="0&quot;台&quot;"/>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quot;ポイント&quot;"/>
    <numFmt numFmtId="190" formatCode="0.0&quot;ポイント&quot;"/>
    <numFmt numFmtId="191" formatCode="0.0_);[Red]\(0.0\)"/>
    <numFmt numFmtId="192" formatCode="[&lt;&gt;0]0.0;General"/>
    <numFmt numFmtId="193" formatCode="0&quot;人&quot;"/>
    <numFmt numFmtId="194" formatCode="General&quot;百万円&quot;"/>
    <numFmt numFmtId="195" formatCode="0.000"/>
    <numFmt numFmtId="196" formatCode="[&lt;&gt;0]General&quot;km&quot;;General"/>
    <numFmt numFmtId="197" formatCode="0&quot;換算km&quot;"/>
    <numFmt numFmtId="198" formatCode="0&quot;km&quot;"/>
    <numFmt numFmtId="199" formatCode="0&quot;kg&quot;"/>
    <numFmt numFmtId="200" formatCode="0&quot;台km&quot;"/>
    <numFmt numFmtId="201" formatCode="#,##0_ "/>
    <numFmt numFmtId="202" formatCode="#,##0&quot;換算km&quot;"/>
    <numFmt numFmtId="203" formatCode="#,##0&quot;km&quot;"/>
    <numFmt numFmtId="204" formatCode="#,##0&quot;kg&quot;"/>
    <numFmt numFmtId="205" formatCode="#,##0_);[Red]\(#,##0\)"/>
    <numFmt numFmtId="206" formatCode="[&lt;&gt;0]#,##0_);[Red]\(#,##0\)"/>
    <numFmt numFmtId="207" formatCode="[&lt;&gt;0]#,##0_);General"/>
    <numFmt numFmtId="208" formatCode="[&lt;&gt;0]#,##0;General"/>
    <numFmt numFmtId="209" formatCode="0_);[Red]\(0\)"/>
  </numFmts>
  <fonts count="23">
    <font>
      <sz val="11"/>
      <name val="ＭＳ Ｐゴシック"/>
      <family val="3"/>
    </font>
    <font>
      <sz val="6"/>
      <name val="ＭＳ Ｐゴシック"/>
      <family val="3"/>
    </font>
    <font>
      <sz val="10"/>
      <name val="ＭＳ Ｐゴシック"/>
      <family val="3"/>
    </font>
    <font>
      <sz val="8"/>
      <name val="ＭＳ Ｐゴシック"/>
      <family val="3"/>
    </font>
    <font>
      <sz val="16"/>
      <name val="ＭＳ Ｐゴシック"/>
      <family val="3"/>
    </font>
    <font>
      <sz val="14"/>
      <name val="ＭＳ Ｐゴシック"/>
      <family val="3"/>
    </font>
    <font>
      <sz val="2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明朝"/>
      <family val="1"/>
    </font>
    <font>
      <sz val="7"/>
      <name val="ＭＳ Ｐゴシック"/>
      <family val="3"/>
    </font>
    <font>
      <b/>
      <sz val="11"/>
      <name val="ＭＳ Ｐゴシック"/>
      <family val="3"/>
    </font>
    <font>
      <b/>
      <sz val="10"/>
      <name val="ＭＳ Ｐ明朝"/>
      <family val="1"/>
    </font>
    <font>
      <sz val="20"/>
      <name val="ＭＳ ゴシック"/>
      <family val="3"/>
    </font>
    <font>
      <sz val="10.5"/>
      <name val="ＭＳ ゴシック"/>
      <family val="3"/>
    </font>
    <font>
      <sz val="14"/>
      <name val="ＭＳ ゴシック"/>
      <family val="3"/>
    </font>
    <font>
      <sz val="14"/>
      <color indexed="8"/>
      <name val="ＭＳ ゴシック"/>
      <family val="3"/>
    </font>
    <font>
      <sz val="8"/>
      <color indexed="10"/>
      <name val="ＭＳ Ｐゴシック"/>
      <family val="3"/>
    </font>
    <font>
      <b/>
      <sz val="11"/>
      <color indexed="10"/>
      <name val="ＭＳ Ｐゴシック"/>
      <family val="3"/>
    </font>
    <font>
      <b/>
      <sz val="11"/>
      <color indexed="53"/>
      <name val="ＭＳ Ｐゴシック"/>
      <family val="3"/>
    </font>
    <font>
      <sz val="9"/>
      <name val="MS UI Gothic"/>
      <family val="3"/>
    </font>
  </fonts>
  <fills count="4">
    <fill>
      <patternFill/>
    </fill>
    <fill>
      <patternFill patternType="gray125"/>
    </fill>
    <fill>
      <patternFill patternType="solid">
        <fgColor indexed="65"/>
        <bgColor indexed="64"/>
      </patternFill>
    </fill>
    <fill>
      <patternFill patternType="solid">
        <fgColor indexed="27"/>
        <bgColor indexed="64"/>
      </patternFill>
    </fill>
  </fills>
  <borders count="104">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double"/>
      <right style="double"/>
      <top style="double"/>
      <bottom style="double"/>
    </border>
    <border>
      <left>
        <color indexed="63"/>
      </left>
      <right style="thin"/>
      <top style="thin"/>
      <bottom style="thin"/>
    </border>
    <border>
      <left>
        <color indexed="63"/>
      </left>
      <right>
        <color indexed="63"/>
      </right>
      <top style="thin"/>
      <bottom style="thin"/>
    </border>
    <border diagonalUp="1">
      <left style="thin"/>
      <right style="thin"/>
      <top style="thin"/>
      <bottom style="thin"/>
      <diagonal style="thin"/>
    </border>
    <border diagonalUp="1">
      <left style="thin"/>
      <right style="thin"/>
      <top style="medium"/>
      <bottom style="medium"/>
      <diagonal style="thin"/>
    </border>
    <border>
      <left>
        <color indexed="63"/>
      </left>
      <right style="thin"/>
      <top style="thin"/>
      <bottom style="medium"/>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diagonalUp="1">
      <left style="thin"/>
      <right style="thin"/>
      <top style="thin"/>
      <bottom style="medium"/>
      <diagonal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style="medium"/>
      <top style="medium"/>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double"/>
      <bottom style="thin"/>
    </border>
    <border>
      <left style="thin"/>
      <right style="medium"/>
      <top style="double"/>
      <bottom style="thin"/>
    </border>
    <border>
      <left style="thin"/>
      <right style="medium"/>
      <top style="thin"/>
      <bottom>
        <color indexed="63"/>
      </bottom>
    </border>
    <border>
      <left>
        <color indexed="63"/>
      </left>
      <right>
        <color indexed="63"/>
      </right>
      <top>
        <color indexed="63"/>
      </top>
      <bottom style="thin"/>
    </border>
    <border>
      <left style="thin"/>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color indexed="63"/>
      </bottom>
    </border>
    <border>
      <left>
        <color indexed="63"/>
      </left>
      <right style="thin"/>
      <top style="dashed"/>
      <bottom style="dashed"/>
    </border>
    <border>
      <left style="thin"/>
      <right style="medium"/>
      <top style="dashed"/>
      <bottom>
        <color indexed="63"/>
      </bottom>
    </border>
    <border>
      <left style="medium"/>
      <right style="thin"/>
      <top>
        <color indexed="63"/>
      </top>
      <bottom style="dashed"/>
    </border>
    <border>
      <left style="medium"/>
      <right style="thin"/>
      <top style="thin"/>
      <bottom style="dashed"/>
    </border>
    <border>
      <left style="thin"/>
      <right style="thin"/>
      <top style="dashed"/>
      <bottom>
        <color indexed="63"/>
      </bottom>
    </border>
    <border>
      <left style="thin"/>
      <right style="thin"/>
      <top style="thin"/>
      <bottom style="dashed"/>
    </border>
    <border>
      <left style="thin"/>
      <right style="medium"/>
      <top style="thin"/>
      <bottom style="dashed"/>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style="dashed"/>
    </border>
    <border>
      <left style="medium"/>
      <right>
        <color indexed="63"/>
      </right>
      <top>
        <color indexed="63"/>
      </top>
      <bottom style="medium"/>
    </border>
    <border>
      <left style="thin"/>
      <right style="medium"/>
      <top>
        <color indexed="63"/>
      </top>
      <bottom style="medium"/>
    </border>
    <border>
      <left>
        <color indexed="63"/>
      </left>
      <right style="thin"/>
      <top style="medium"/>
      <bottom style="medium"/>
    </border>
    <border>
      <left>
        <color indexed="63"/>
      </left>
      <right style="thin"/>
      <top>
        <color indexed="63"/>
      </top>
      <bottom style="dashed"/>
    </border>
    <border>
      <left style="thin"/>
      <right style="medium"/>
      <top>
        <color indexed="63"/>
      </top>
      <bottom style="dashed"/>
    </border>
    <border>
      <left style="thin"/>
      <right style="medium"/>
      <top>
        <color indexed="63"/>
      </top>
      <bottom style="thin"/>
    </border>
    <border>
      <left>
        <color indexed="63"/>
      </left>
      <right style="thin"/>
      <top style="dashed"/>
      <bottom>
        <color indexed="63"/>
      </bottom>
    </border>
    <border>
      <left>
        <color indexed="63"/>
      </left>
      <right style="thin"/>
      <top style="dashed"/>
      <bottom style="medium"/>
    </border>
    <border>
      <left style="thin"/>
      <right style="thin"/>
      <top style="dashed"/>
      <bottom style="medium"/>
    </border>
    <border>
      <left>
        <color indexed="63"/>
      </left>
      <right style="medium"/>
      <top style="medium"/>
      <bottom>
        <color indexed="63"/>
      </bottom>
    </border>
    <border>
      <left>
        <color indexed="63"/>
      </left>
      <right style="thin"/>
      <top style="thin"/>
      <bottom style="dashed"/>
    </border>
    <border>
      <left>
        <color indexed="63"/>
      </left>
      <right style="medium"/>
      <top>
        <color indexed="63"/>
      </top>
      <bottom>
        <color indexed="63"/>
      </bottom>
    </border>
    <border>
      <left>
        <color indexed="63"/>
      </left>
      <right style="medium"/>
      <top>
        <color indexed="63"/>
      </top>
      <bottom style="medium"/>
    </border>
    <border>
      <left style="thin"/>
      <right style="medium"/>
      <top style="dashed"/>
      <bottom style="medium"/>
    </border>
    <border>
      <left style="thin"/>
      <right style="dotted"/>
      <top style="thin"/>
      <bottom style="thin"/>
    </border>
    <border>
      <left style="dotted"/>
      <right style="thin"/>
      <top style="thin"/>
      <bottom style="thin"/>
    </border>
    <border>
      <left style="medium"/>
      <right style="thin"/>
      <top>
        <color indexed="63"/>
      </top>
      <bottom style="thin"/>
    </border>
    <border>
      <left style="dotted"/>
      <right style="thin"/>
      <top style="dotted"/>
      <bottom style="thin"/>
    </border>
    <border>
      <left style="thin"/>
      <right style="dotted"/>
      <top style="dotted"/>
      <bottom style="thin"/>
    </border>
    <border>
      <left style="medium"/>
      <right>
        <color indexed="63"/>
      </right>
      <top style="medium"/>
      <bottom>
        <color indexed="63"/>
      </bottom>
    </border>
    <border>
      <left style="thin"/>
      <right style="dotted"/>
      <top style="thin"/>
      <bottom style="dotted"/>
    </border>
    <border>
      <left style="dotted"/>
      <right style="thin"/>
      <top style="thin"/>
      <bottom style="dotted"/>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double"/>
    </border>
    <border>
      <left style="medium"/>
      <right style="thin"/>
      <top style="double"/>
      <bottom>
        <color indexed="63"/>
      </bottom>
    </border>
    <border>
      <left style="thin"/>
      <right style="thin"/>
      <top style="double"/>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cellStyleXfs>
  <cellXfs count="584">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1" xfId="0" applyBorder="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xf>
    <xf numFmtId="0" fontId="7" fillId="0" borderId="0" xfId="0" applyFont="1" applyAlignment="1">
      <alignment vertical="top"/>
    </xf>
    <xf numFmtId="0" fontId="0" fillId="0" borderId="0" xfId="0" applyAlignment="1">
      <alignment vertical="top"/>
    </xf>
    <xf numFmtId="0" fontId="7" fillId="0" borderId="0" xfId="0" applyFont="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Border="1" applyAlignment="1">
      <alignment horizontal="center" vertical="center"/>
    </xf>
    <xf numFmtId="182" fontId="2" fillId="0" borderId="1" xfId="0" applyNumberFormat="1" applyFont="1" applyFill="1" applyBorder="1" applyAlignment="1">
      <alignment horizontal="center" vertical="center"/>
    </xf>
    <xf numFmtId="0" fontId="2" fillId="0" borderId="2" xfId="0" applyFont="1" applyFill="1" applyBorder="1" applyAlignment="1">
      <alignment horizontal="center"/>
    </xf>
    <xf numFmtId="182" fontId="2" fillId="0" borderId="3" xfId="0" applyNumberFormat="1" applyFont="1" applyFill="1" applyBorder="1" applyAlignment="1">
      <alignment horizontal="center" vertical="center"/>
    </xf>
    <xf numFmtId="0" fontId="2" fillId="0" borderId="4" xfId="0" applyFont="1" applyFill="1" applyBorder="1" applyAlignment="1">
      <alignment horizontal="center"/>
    </xf>
    <xf numFmtId="0" fontId="2" fillId="0" borderId="5" xfId="0" applyFont="1" applyFill="1" applyBorder="1" applyAlignment="1">
      <alignment horizontal="center"/>
    </xf>
    <xf numFmtId="182" fontId="2" fillId="0" borderId="6"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182" fontId="2" fillId="0" borderId="8" xfId="0" applyNumberFormat="1" applyFont="1" applyFill="1" applyBorder="1" applyAlignment="1">
      <alignment horizontal="center" vertical="center"/>
    </xf>
    <xf numFmtId="182" fontId="2" fillId="0" borderId="9" xfId="0" applyNumberFormat="1" applyFont="1" applyFill="1" applyBorder="1" applyAlignment="1">
      <alignment horizontal="center" vertical="center"/>
    </xf>
    <xf numFmtId="182" fontId="2" fillId="0" borderId="10" xfId="0" applyNumberFormat="1" applyFont="1" applyFill="1" applyBorder="1" applyAlignment="1">
      <alignment horizontal="center" vertical="center"/>
    </xf>
    <xf numFmtId="182" fontId="2" fillId="0" borderId="11" xfId="0" applyNumberFormat="1" applyFont="1" applyFill="1" applyBorder="1" applyAlignment="1">
      <alignment horizontal="center" vertical="center"/>
    </xf>
    <xf numFmtId="182" fontId="2" fillId="0" borderId="12"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182" fontId="2" fillId="0" borderId="14"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0" fontId="2" fillId="0" borderId="16" xfId="0" applyFont="1" applyFill="1" applyBorder="1" applyAlignment="1">
      <alignment horizontal="center"/>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xf>
    <xf numFmtId="0" fontId="0" fillId="0" borderId="6" xfId="0" applyFont="1" applyFill="1" applyBorder="1" applyAlignment="1">
      <alignment/>
    </xf>
    <xf numFmtId="0" fontId="2" fillId="0" borderId="0" xfId="0" applyFont="1" applyAlignment="1">
      <alignment vertical="top"/>
    </xf>
    <xf numFmtId="0" fontId="0" fillId="0" borderId="1" xfId="0" applyBorder="1" applyAlignment="1">
      <alignment vertical="center"/>
    </xf>
    <xf numFmtId="0" fontId="0" fillId="0" borderId="0" xfId="0" applyFill="1" applyBorder="1" applyAlignment="1">
      <alignment/>
    </xf>
    <xf numFmtId="0" fontId="0" fillId="0" borderId="0" xfId="0" applyFont="1" applyFill="1" applyBorder="1" applyAlignment="1">
      <alignment wrapText="1"/>
    </xf>
    <xf numFmtId="0" fontId="0" fillId="0" borderId="0" xfId="0" applyFont="1" applyFill="1" applyBorder="1" applyAlignment="1">
      <alignment/>
    </xf>
    <xf numFmtId="0" fontId="0" fillId="0" borderId="0" xfId="0" applyFont="1" applyFill="1" applyBorder="1" applyAlignment="1">
      <alignment horizontal="left"/>
    </xf>
    <xf numFmtId="182" fontId="2" fillId="0" borderId="20" xfId="0" applyNumberFormat="1" applyFont="1" applyFill="1" applyBorder="1" applyAlignment="1">
      <alignment horizontal="center" vertical="center"/>
    </xf>
    <xf numFmtId="0" fontId="2" fillId="0" borderId="1" xfId="0" applyFont="1" applyBorder="1" applyAlignment="1">
      <alignment/>
    </xf>
    <xf numFmtId="0" fontId="7" fillId="0" borderId="0" xfId="0" applyFont="1" applyBorder="1" applyAlignment="1">
      <alignment/>
    </xf>
    <xf numFmtId="0" fontId="0" fillId="0" borderId="0" xfId="0" applyFont="1" applyAlignment="1">
      <alignment/>
    </xf>
    <xf numFmtId="0" fontId="0" fillId="0" borderId="21" xfId="0" applyFont="1" applyBorder="1" applyAlignment="1">
      <alignment/>
    </xf>
    <xf numFmtId="0" fontId="0" fillId="0" borderId="22" xfId="0" applyFont="1" applyBorder="1" applyAlignment="1">
      <alignment/>
    </xf>
    <xf numFmtId="0" fontId="0" fillId="0" borderId="10" xfId="0" applyFont="1" applyBorder="1" applyAlignment="1">
      <alignment vertical="center" wrapText="1"/>
    </xf>
    <xf numFmtId="182" fontId="0" fillId="2" borderId="23" xfId="0" applyNumberFormat="1" applyFont="1" applyFill="1" applyBorder="1" applyAlignment="1">
      <alignment horizontal="center" vertical="center"/>
    </xf>
    <xf numFmtId="182" fontId="0" fillId="2" borderId="1" xfId="0" applyNumberFormat="1" applyFont="1" applyFill="1" applyBorder="1" applyAlignment="1">
      <alignment horizontal="center" vertical="center"/>
    </xf>
    <xf numFmtId="0" fontId="3" fillId="0" borderId="6" xfId="0" applyFont="1" applyFill="1" applyBorder="1" applyAlignment="1">
      <alignment vertical="center" wrapText="1"/>
    </xf>
    <xf numFmtId="0" fontId="2" fillId="2" borderId="24" xfId="0" applyFont="1" applyFill="1" applyBorder="1" applyAlignment="1">
      <alignment/>
    </xf>
    <xf numFmtId="0" fontId="2" fillId="2" borderId="24" xfId="0" applyFont="1" applyFill="1" applyBorder="1" applyAlignment="1">
      <alignment/>
    </xf>
    <xf numFmtId="49" fontId="3" fillId="0" borderId="0" xfId="0" applyNumberFormat="1" applyFont="1" applyAlignment="1">
      <alignment/>
    </xf>
    <xf numFmtId="0" fontId="3" fillId="0" borderId="6" xfId="0" applyFont="1" applyBorder="1" applyAlignment="1">
      <alignment horizontal="center" vertical="center"/>
    </xf>
    <xf numFmtId="0" fontId="3" fillId="0" borderId="6" xfId="0" applyFont="1" applyBorder="1" applyAlignment="1">
      <alignment vertical="center" wrapText="1"/>
    </xf>
    <xf numFmtId="0" fontId="0" fillId="0" borderId="11" xfId="0" applyFont="1" applyBorder="1" applyAlignment="1">
      <alignment vertical="center" wrapText="1"/>
    </xf>
    <xf numFmtId="0" fontId="0" fillId="0" borderId="25" xfId="0" applyFont="1" applyBorder="1" applyAlignment="1">
      <alignment/>
    </xf>
    <xf numFmtId="0" fontId="0" fillId="0" borderId="0" xfId="0" applyFont="1" applyBorder="1" applyAlignment="1">
      <alignment/>
    </xf>
    <xf numFmtId="0" fontId="0" fillId="0" borderId="26" xfId="0" applyFont="1" applyBorder="1" applyAlignment="1">
      <alignment/>
    </xf>
    <xf numFmtId="182" fontId="0" fillId="2" borderId="27" xfId="0" applyNumberFormat="1" applyFont="1" applyFill="1" applyBorder="1" applyAlignment="1">
      <alignment horizontal="center" vertical="center"/>
    </xf>
    <xf numFmtId="0" fontId="0" fillId="0" borderId="28" xfId="0" applyFont="1" applyBorder="1" applyAlignment="1">
      <alignment/>
    </xf>
    <xf numFmtId="0" fontId="0" fillId="0" borderId="29" xfId="0" applyFont="1" applyBorder="1" applyAlignment="1">
      <alignment/>
    </xf>
    <xf numFmtId="182" fontId="0" fillId="2" borderId="30" xfId="0" applyNumberFormat="1" applyFont="1" applyFill="1" applyBorder="1" applyAlignment="1">
      <alignment horizontal="center" vertical="center"/>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0" fillId="3" borderId="27" xfId="0" applyFont="1" applyFill="1" applyBorder="1" applyAlignment="1" applyProtection="1">
      <alignment horizontal="left" vertical="center"/>
      <protection locked="0"/>
    </xf>
    <xf numFmtId="0" fontId="0" fillId="3" borderId="27" xfId="0" applyFont="1" applyFill="1" applyBorder="1" applyAlignment="1" applyProtection="1">
      <alignment horizontal="left" vertical="center" wrapText="1"/>
      <protection locked="0"/>
    </xf>
    <xf numFmtId="0" fontId="0" fillId="3" borderId="27" xfId="0" applyFont="1" applyFill="1" applyBorder="1" applyAlignment="1" applyProtection="1">
      <alignment horizontal="left"/>
      <protection locked="0"/>
    </xf>
    <xf numFmtId="0" fontId="0" fillId="3" borderId="31" xfId="0" applyFont="1" applyFill="1" applyBorder="1" applyAlignment="1" applyProtection="1">
      <alignment horizontal="left"/>
      <protection locked="0"/>
    </xf>
    <xf numFmtId="0" fontId="2" fillId="3" borderId="3"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2" fillId="3" borderId="1" xfId="0" applyFont="1" applyFill="1" applyBorder="1" applyAlignment="1" applyProtection="1">
      <alignment vertical="center" wrapText="1"/>
      <protection locked="0"/>
    </xf>
    <xf numFmtId="0" fontId="2" fillId="3" borderId="1" xfId="0" applyFont="1" applyFill="1" applyBorder="1" applyAlignment="1" applyProtection="1">
      <alignment horizontal="center" vertical="center" wrapText="1"/>
      <protection locked="0"/>
    </xf>
    <xf numFmtId="0" fontId="2" fillId="3" borderId="17" xfId="0" applyFont="1" applyFill="1" applyBorder="1" applyAlignment="1" applyProtection="1">
      <alignment vertical="center" wrapText="1"/>
      <protection locked="0"/>
    </xf>
    <xf numFmtId="0" fontId="2" fillId="3" borderId="17" xfId="0" applyFont="1" applyFill="1" applyBorder="1" applyAlignment="1" applyProtection="1">
      <alignment horizontal="center" vertical="center" wrapText="1"/>
      <protection locked="0"/>
    </xf>
    <xf numFmtId="0" fontId="2" fillId="3" borderId="6" xfId="0" applyFont="1" applyFill="1" applyBorder="1" applyAlignment="1" applyProtection="1">
      <alignment vertical="center" wrapText="1"/>
      <protection locked="0"/>
    </xf>
    <xf numFmtId="0" fontId="2" fillId="3" borderId="6" xfId="0" applyFont="1" applyFill="1" applyBorder="1" applyAlignment="1" applyProtection="1">
      <alignment horizontal="center" vertical="center" wrapText="1"/>
      <protection locked="0"/>
    </xf>
    <xf numFmtId="0" fontId="0" fillId="0" borderId="32" xfId="23" applyFont="1" applyBorder="1" applyAlignment="1" applyProtection="1">
      <alignment horizontal="center" vertical="center"/>
      <protection/>
    </xf>
    <xf numFmtId="0" fontId="0" fillId="0" borderId="33" xfId="23" applyFont="1" applyBorder="1" applyAlignment="1" applyProtection="1">
      <alignment horizontal="center" vertical="center"/>
      <protection/>
    </xf>
    <xf numFmtId="0" fontId="0" fillId="0" borderId="34" xfId="23" applyFont="1" applyBorder="1" applyAlignment="1" applyProtection="1">
      <alignment vertical="center"/>
      <protection/>
    </xf>
    <xf numFmtId="0" fontId="0" fillId="0" borderId="0" xfId="23" applyFont="1" applyBorder="1" applyAlignment="1" applyProtection="1">
      <alignment vertical="center"/>
      <protection/>
    </xf>
    <xf numFmtId="0" fontId="0" fillId="0" borderId="0" xfId="0" applyFont="1" applyBorder="1" applyAlignment="1" applyProtection="1">
      <alignment horizontal="center" vertical="center"/>
      <protection/>
    </xf>
    <xf numFmtId="180" fontId="0" fillId="0" borderId="12" xfId="23" applyNumberFormat="1" applyFont="1" applyBorder="1" applyAlignment="1" applyProtection="1">
      <alignment horizontal="center" vertical="center"/>
      <protection/>
    </xf>
    <xf numFmtId="0" fontId="0" fillId="0" borderId="34" xfId="23" applyFont="1" applyBorder="1" applyAlignment="1" applyProtection="1">
      <alignment horizontal="left" vertical="center"/>
      <protection/>
    </xf>
    <xf numFmtId="0" fontId="0" fillId="0" borderId="0" xfId="23" applyFont="1" applyBorder="1" applyAlignment="1" applyProtection="1">
      <alignment horizontal="left" vertical="center"/>
      <protection/>
    </xf>
    <xf numFmtId="0" fontId="0" fillId="0" borderId="0" xfId="0" applyFont="1" applyAlignment="1" applyProtection="1">
      <alignment vertical="top"/>
      <protection/>
    </xf>
    <xf numFmtId="0" fontId="0" fillId="3" borderId="10" xfId="0" applyFont="1" applyFill="1" applyBorder="1" applyAlignment="1" applyProtection="1">
      <alignment vertical="top"/>
      <protection locked="0"/>
    </xf>
    <xf numFmtId="0" fontId="0" fillId="0" borderId="0" xfId="0" applyFont="1" applyAlignment="1" applyProtection="1">
      <alignment vertical="top"/>
      <protection/>
    </xf>
    <xf numFmtId="0" fontId="0" fillId="0" borderId="10" xfId="0" applyFont="1" applyBorder="1" applyAlignment="1" applyProtection="1">
      <alignment vertical="top"/>
      <protection/>
    </xf>
    <xf numFmtId="0" fontId="0" fillId="0" borderId="21" xfId="0" applyFont="1" applyBorder="1" applyAlignment="1" applyProtection="1">
      <alignment vertical="top"/>
      <protection/>
    </xf>
    <xf numFmtId="0" fontId="0" fillId="0" borderId="0" xfId="0" applyFont="1" applyBorder="1" applyAlignment="1" applyProtection="1">
      <alignment vertical="top"/>
      <protection/>
    </xf>
    <xf numFmtId="0" fontId="13" fillId="0" borderId="0" xfId="0" applyFont="1" applyBorder="1" applyAlignment="1" applyProtection="1">
      <alignment horizontal="center" vertical="top"/>
      <protection/>
    </xf>
    <xf numFmtId="0" fontId="0" fillId="0" borderId="0" xfId="0" applyFont="1" applyBorder="1" applyAlignment="1" applyProtection="1">
      <alignment horizontal="center" vertical="top"/>
      <protection/>
    </xf>
    <xf numFmtId="190" fontId="13" fillId="0" borderId="0" xfId="0" applyNumberFormat="1" applyFont="1" applyBorder="1" applyAlignment="1" applyProtection="1">
      <alignment horizontal="center" vertical="top"/>
      <protection/>
    </xf>
    <xf numFmtId="0" fontId="0" fillId="0" borderId="21"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190" fontId="13" fillId="0" borderId="0" xfId="0" applyNumberFormat="1" applyFont="1" applyFill="1" applyBorder="1" applyAlignment="1" applyProtection="1">
      <alignment horizontal="center" vertical="top"/>
      <protection/>
    </xf>
    <xf numFmtId="0" fontId="0" fillId="0" borderId="0" xfId="0" applyFont="1" applyAlignment="1" applyProtection="1">
      <alignment vertical="top" wrapText="1"/>
      <protection/>
    </xf>
    <xf numFmtId="0" fontId="0" fillId="0" borderId="10" xfId="0" applyFont="1" applyBorder="1" applyAlignment="1">
      <alignment vertical="center"/>
    </xf>
    <xf numFmtId="0" fontId="0" fillId="0" borderId="18" xfId="0" applyFont="1" applyBorder="1" applyAlignment="1">
      <alignment vertical="center" wrapText="1"/>
    </xf>
    <xf numFmtId="0" fontId="10" fillId="0" borderId="35" xfId="0" applyFont="1" applyBorder="1" applyAlignment="1">
      <alignment horizontal="center" vertical="center"/>
    </xf>
    <xf numFmtId="0" fontId="0" fillId="0" borderId="36" xfId="0" applyFont="1" applyBorder="1" applyAlignment="1">
      <alignment vertical="center" wrapText="1"/>
    </xf>
    <xf numFmtId="0" fontId="10" fillId="0" borderId="36" xfId="0" applyFont="1" applyBorder="1" applyAlignment="1">
      <alignment horizontal="center" vertical="center"/>
    </xf>
    <xf numFmtId="0" fontId="7" fillId="0" borderId="0" xfId="23" applyFont="1" applyProtection="1">
      <alignment/>
      <protection/>
    </xf>
    <xf numFmtId="0" fontId="2" fillId="0" borderId="0" xfId="23" applyFont="1" applyProtection="1">
      <alignment/>
      <protection/>
    </xf>
    <xf numFmtId="49" fontId="0" fillId="0" borderId="0" xfId="23" applyNumberFormat="1" applyFont="1" applyAlignment="1" applyProtection="1">
      <alignment horizontal="right"/>
      <protection/>
    </xf>
    <xf numFmtId="0" fontId="0" fillId="0" borderId="0" xfId="23" applyFont="1" applyProtection="1">
      <alignment/>
      <protection/>
    </xf>
    <xf numFmtId="49" fontId="0" fillId="0" borderId="0" xfId="23" applyNumberFormat="1" applyFont="1" applyProtection="1">
      <alignment/>
      <protection/>
    </xf>
    <xf numFmtId="0" fontId="0" fillId="0" borderId="0" xfId="23" applyFont="1" applyProtection="1">
      <alignment/>
      <protection/>
    </xf>
    <xf numFmtId="49" fontId="0" fillId="0" borderId="0" xfId="23" applyNumberFormat="1" applyFont="1" applyProtection="1">
      <alignment/>
      <protection/>
    </xf>
    <xf numFmtId="0" fontId="0" fillId="0" borderId="10" xfId="23" applyFont="1" applyBorder="1" applyAlignment="1" applyProtection="1">
      <alignment vertical="center"/>
      <protection/>
    </xf>
    <xf numFmtId="0" fontId="0" fillId="0" borderId="21" xfId="23" applyFont="1" applyBorder="1" applyAlignment="1" applyProtection="1">
      <alignment horizontal="center" vertical="center"/>
      <protection/>
    </xf>
    <xf numFmtId="182" fontId="0" fillId="0" borderId="1" xfId="23" applyNumberFormat="1" applyFont="1" applyBorder="1" applyAlignment="1" applyProtection="1">
      <alignment horizontal="center" vertical="center"/>
      <protection/>
    </xf>
    <xf numFmtId="0" fontId="0" fillId="0" borderId="0" xfId="23" applyFont="1" applyBorder="1" applyAlignment="1" applyProtection="1">
      <alignment horizontal="center" vertical="center"/>
      <protection/>
    </xf>
    <xf numFmtId="0" fontId="0" fillId="0" borderId="21" xfId="23" applyFont="1" applyBorder="1" applyAlignment="1" applyProtection="1">
      <alignment horizontal="center" vertical="center" wrapText="1"/>
      <protection/>
    </xf>
    <xf numFmtId="0" fontId="0" fillId="0" borderId="10" xfId="23" applyFont="1" applyBorder="1" applyAlignment="1" applyProtection="1">
      <alignment horizontal="center" vertical="center"/>
      <protection/>
    </xf>
    <xf numFmtId="49" fontId="0" fillId="0" borderId="0" xfId="23" applyNumberFormat="1" applyFont="1" applyAlignment="1" applyProtection="1">
      <alignment horizontal="right"/>
      <protection/>
    </xf>
    <xf numFmtId="0" fontId="10" fillId="0" borderId="0" xfId="23" applyFont="1" applyBorder="1" applyAlignment="1" applyProtection="1">
      <alignment horizontal="center" vertical="center" wrapText="1"/>
      <protection/>
    </xf>
    <xf numFmtId="0" fontId="0" fillId="0" borderId="21" xfId="23" applyFont="1" applyBorder="1" applyAlignment="1" applyProtection="1">
      <alignment vertical="center" wrapText="1"/>
      <protection/>
    </xf>
    <xf numFmtId="182" fontId="0" fillId="0" borderId="1" xfId="23" applyNumberFormat="1" applyFont="1" applyFill="1" applyBorder="1" applyAlignment="1" applyProtection="1">
      <alignment horizontal="center" vertical="center" wrapText="1"/>
      <protection/>
    </xf>
    <xf numFmtId="182" fontId="0" fillId="0" borderId="0" xfId="23" applyNumberFormat="1" applyFont="1" applyBorder="1" applyAlignment="1" applyProtection="1">
      <alignment horizontal="center"/>
      <protection/>
    </xf>
    <xf numFmtId="0" fontId="0" fillId="0" borderId="0" xfId="23" applyFont="1" applyBorder="1" applyAlignment="1" applyProtection="1">
      <alignment horizontal="center"/>
      <protection/>
    </xf>
    <xf numFmtId="0" fontId="0" fillId="0" borderId="0" xfId="23" applyFont="1" applyAlignment="1" applyProtection="1">
      <alignment/>
      <protection/>
    </xf>
    <xf numFmtId="0" fontId="0" fillId="0" borderId="0" xfId="23" applyFont="1" applyAlignment="1" applyProtection="1">
      <alignment vertical="center"/>
      <protection/>
    </xf>
    <xf numFmtId="0" fontId="0" fillId="0" borderId="0" xfId="23" applyFont="1" applyBorder="1" applyAlignment="1" applyProtection="1">
      <alignment horizontal="center" vertical="center" wrapText="1"/>
      <protection/>
    </xf>
    <xf numFmtId="188" fontId="0" fillId="0" borderId="0" xfId="23" applyNumberFormat="1" applyFont="1" applyBorder="1" applyProtection="1">
      <alignment/>
      <protection/>
    </xf>
    <xf numFmtId="0" fontId="0" fillId="0" borderId="0" xfId="23" applyFont="1" applyBorder="1" applyAlignment="1" applyProtection="1">
      <alignment/>
      <protection/>
    </xf>
    <xf numFmtId="0" fontId="0" fillId="0" borderId="0" xfId="23" applyFont="1" applyBorder="1" applyAlignment="1" applyProtection="1">
      <alignment vertical="top"/>
      <protection/>
    </xf>
    <xf numFmtId="49" fontId="0" fillId="0" borderId="0" xfId="0" applyNumberFormat="1" applyFont="1" applyAlignment="1" applyProtection="1">
      <alignment horizontal="right" vertical="top"/>
      <protection/>
    </xf>
    <xf numFmtId="0" fontId="0" fillId="0" borderId="0" xfId="0" applyFont="1" applyAlignment="1" applyProtection="1">
      <alignment vertical="top"/>
      <protection/>
    </xf>
    <xf numFmtId="0" fontId="0" fillId="0" borderId="0" xfId="23" applyFont="1" applyProtection="1">
      <alignment/>
      <protection/>
    </xf>
    <xf numFmtId="49" fontId="0" fillId="0" borderId="0" xfId="23" applyNumberFormat="1" applyFont="1" applyProtection="1">
      <alignment/>
      <protection/>
    </xf>
    <xf numFmtId="0" fontId="0" fillId="0" borderId="0" xfId="23" applyFont="1" applyBorder="1" applyAlignment="1" applyProtection="1">
      <alignment vertical="top" wrapText="1"/>
      <protection/>
    </xf>
    <xf numFmtId="0" fontId="0" fillId="0" borderId="0" xfId="0" applyFont="1" applyAlignment="1" applyProtection="1">
      <alignment vertical="top" wrapText="1"/>
      <protection/>
    </xf>
    <xf numFmtId="49" fontId="2" fillId="0" borderId="0" xfId="23" applyNumberFormat="1" applyFont="1" applyProtection="1">
      <alignment/>
      <protection/>
    </xf>
    <xf numFmtId="0" fontId="0" fillId="0" borderId="32" xfId="23" applyFont="1" applyBorder="1" applyAlignment="1" applyProtection="1">
      <alignment horizontal="center" vertical="center" wrapText="1"/>
      <protection/>
    </xf>
    <xf numFmtId="0" fontId="0" fillId="0" borderId="37" xfId="23" applyFont="1" applyBorder="1" applyAlignment="1" applyProtection="1">
      <alignment vertical="center"/>
      <protection/>
    </xf>
    <xf numFmtId="182" fontId="0" fillId="0" borderId="2" xfId="23" applyNumberFormat="1" applyFont="1" applyBorder="1" applyAlignment="1" applyProtection="1">
      <alignment horizontal="center"/>
      <protection/>
    </xf>
    <xf numFmtId="182" fontId="0" fillId="0" borderId="3" xfId="23" applyNumberFormat="1" applyFont="1" applyBorder="1" applyAlignment="1" applyProtection="1">
      <alignment horizontal="center"/>
      <protection/>
    </xf>
    <xf numFmtId="182" fontId="0" fillId="0" borderId="3" xfId="23" applyNumberFormat="1" applyFont="1" applyBorder="1" applyProtection="1">
      <alignment/>
      <protection/>
    </xf>
    <xf numFmtId="182" fontId="0" fillId="0" borderId="38" xfId="23" applyNumberFormat="1" applyFont="1" applyBorder="1" applyProtection="1">
      <alignment/>
      <protection/>
    </xf>
    <xf numFmtId="182" fontId="0" fillId="0" borderId="39" xfId="23" applyNumberFormat="1" applyFont="1" applyBorder="1" applyAlignment="1" applyProtection="1">
      <alignment horizontal="center"/>
      <protection/>
    </xf>
    <xf numFmtId="182" fontId="0" fillId="0" borderId="0" xfId="23" applyNumberFormat="1" applyFont="1" applyProtection="1">
      <alignment/>
      <protection/>
    </xf>
    <xf numFmtId="0" fontId="0" fillId="0" borderId="26" xfId="23" applyFont="1" applyBorder="1" applyAlignment="1" applyProtection="1">
      <alignment vertical="center" wrapText="1"/>
      <protection/>
    </xf>
    <xf numFmtId="182" fontId="0" fillId="0" borderId="4" xfId="23" applyNumberFormat="1" applyFont="1" applyBorder="1" applyAlignment="1" applyProtection="1">
      <alignment horizontal="center"/>
      <protection/>
    </xf>
    <xf numFmtId="182" fontId="0" fillId="0" borderId="1" xfId="23" applyNumberFormat="1" applyFont="1" applyBorder="1" applyAlignment="1" applyProtection="1">
      <alignment horizontal="center"/>
      <protection/>
    </xf>
    <xf numFmtId="182" fontId="0" fillId="0" borderId="1" xfId="23" applyNumberFormat="1" applyFont="1" applyBorder="1" applyProtection="1">
      <alignment/>
      <protection/>
    </xf>
    <xf numFmtId="182" fontId="0" fillId="0" borderId="27" xfId="23" applyNumberFormat="1" applyFont="1" applyBorder="1" applyProtection="1">
      <alignment/>
      <protection/>
    </xf>
    <xf numFmtId="182" fontId="0" fillId="0" borderId="40" xfId="23" applyNumberFormat="1" applyFont="1" applyBorder="1" applyAlignment="1" applyProtection="1">
      <alignment horizontal="center"/>
      <protection/>
    </xf>
    <xf numFmtId="0" fontId="0" fillId="0" borderId="41" xfId="23" applyFont="1" applyBorder="1" applyAlignment="1" applyProtection="1">
      <alignment vertical="center"/>
      <protection/>
    </xf>
    <xf numFmtId="182" fontId="0" fillId="0" borderId="5" xfId="23" applyNumberFormat="1" applyFont="1" applyBorder="1" applyAlignment="1" applyProtection="1">
      <alignment horizontal="center"/>
      <protection/>
    </xf>
    <xf numFmtId="182" fontId="0" fillId="0" borderId="6" xfId="23" applyNumberFormat="1" applyFont="1" applyBorder="1" applyAlignment="1" applyProtection="1">
      <alignment horizontal="center"/>
      <protection/>
    </xf>
    <xf numFmtId="182" fontId="0" fillId="0" borderId="6" xfId="23" applyNumberFormat="1" applyFont="1" applyBorder="1" applyProtection="1">
      <alignment/>
      <protection/>
    </xf>
    <xf numFmtId="182" fontId="0" fillId="0" borderId="31" xfId="23" applyNumberFormat="1" applyFont="1" applyBorder="1" applyProtection="1">
      <alignment/>
      <protection/>
    </xf>
    <xf numFmtId="182" fontId="0" fillId="0" borderId="42" xfId="23" applyNumberFormat="1" applyFont="1" applyBorder="1" applyAlignment="1" applyProtection="1">
      <alignment horizontal="center"/>
      <protection/>
    </xf>
    <xf numFmtId="0" fontId="0" fillId="0" borderId="36" xfId="23" applyFont="1" applyBorder="1" applyAlignment="1" applyProtection="1">
      <alignment horizontal="center" vertical="center"/>
      <protection/>
    </xf>
    <xf numFmtId="180" fontId="0" fillId="0" borderId="12" xfId="23" applyNumberFormat="1" applyFont="1" applyBorder="1" applyAlignment="1" applyProtection="1">
      <alignment vertical="center"/>
      <protection/>
    </xf>
    <xf numFmtId="0" fontId="0" fillId="0" borderId="1" xfId="23" applyFont="1" applyBorder="1" applyAlignment="1" applyProtection="1">
      <alignment vertical="center" wrapText="1"/>
      <protection/>
    </xf>
    <xf numFmtId="182" fontId="0" fillId="3" borderId="1" xfId="23" applyNumberFormat="1" applyFont="1" applyFill="1" applyBorder="1" applyAlignment="1" applyProtection="1">
      <alignment horizontal="center" vertical="center" wrapText="1"/>
      <protection locked="0"/>
    </xf>
    <xf numFmtId="0" fontId="0" fillId="0" borderId="1" xfId="23" applyFont="1" applyBorder="1" applyAlignment="1" applyProtection="1">
      <alignment vertical="center"/>
      <protection/>
    </xf>
    <xf numFmtId="0" fontId="0" fillId="0" borderId="1" xfId="23" applyFont="1" applyBorder="1" applyAlignment="1" applyProtection="1">
      <alignment horizontal="center" vertical="center"/>
      <protection/>
    </xf>
    <xf numFmtId="49" fontId="0" fillId="0" borderId="0" xfId="23" applyNumberFormat="1" applyFont="1" applyAlignment="1" applyProtection="1">
      <alignment horizontal="right"/>
      <protection/>
    </xf>
    <xf numFmtId="0" fontId="0" fillId="0" borderId="0" xfId="23" applyFont="1" applyAlignment="1" applyProtection="1">
      <alignment/>
      <protection/>
    </xf>
    <xf numFmtId="0" fontId="0" fillId="0" borderId="1" xfId="23" applyFont="1" applyBorder="1" applyAlignment="1" applyProtection="1">
      <alignment/>
      <protection/>
    </xf>
    <xf numFmtId="0" fontId="2" fillId="0" borderId="1" xfId="23" applyFont="1" applyBorder="1" applyAlignment="1" applyProtection="1">
      <alignment horizontal="center"/>
      <protection/>
    </xf>
    <xf numFmtId="0" fontId="0" fillId="0" borderId="0" xfId="23" applyFont="1" applyBorder="1" applyAlignment="1" applyProtection="1">
      <alignment horizontal="center"/>
      <protection/>
    </xf>
    <xf numFmtId="0" fontId="0" fillId="0" borderId="10" xfId="23" applyFont="1" applyBorder="1" applyAlignment="1" applyProtection="1">
      <alignment horizontal="right"/>
      <protection/>
    </xf>
    <xf numFmtId="0" fontId="0" fillId="0" borderId="21" xfId="23" applyFont="1" applyBorder="1" applyProtection="1">
      <alignment/>
      <protection/>
    </xf>
    <xf numFmtId="0" fontId="2" fillId="0" borderId="1" xfId="23" applyFont="1" applyBorder="1" applyProtection="1">
      <alignment/>
      <protection/>
    </xf>
    <xf numFmtId="0" fontId="0" fillId="0" borderId="0" xfId="23" applyFont="1" applyBorder="1" applyAlignment="1" applyProtection="1">
      <alignment vertical="top" wrapText="1"/>
      <protection/>
    </xf>
    <xf numFmtId="0" fontId="0" fillId="0" borderId="10" xfId="23" applyFont="1" applyBorder="1" applyProtection="1">
      <alignment/>
      <protection/>
    </xf>
    <xf numFmtId="0" fontId="0" fillId="0" borderId="1" xfId="23" applyFont="1" applyBorder="1" applyAlignment="1" applyProtection="1">
      <alignment horizontal="center"/>
      <protection/>
    </xf>
    <xf numFmtId="49" fontId="0" fillId="0" borderId="0" xfId="23" applyNumberFormat="1" applyFont="1" applyAlignment="1" applyProtection="1">
      <alignment/>
      <protection/>
    </xf>
    <xf numFmtId="0" fontId="0" fillId="0" borderId="18" xfId="23" applyFont="1" applyBorder="1" applyAlignment="1" applyProtection="1">
      <alignment/>
      <protection/>
    </xf>
    <xf numFmtId="0" fontId="0" fillId="0" borderId="35" xfId="23" applyFont="1" applyBorder="1" applyAlignment="1" applyProtection="1">
      <alignment/>
      <protection/>
    </xf>
    <xf numFmtId="0" fontId="0" fillId="0" borderId="17" xfId="23" applyFont="1" applyBorder="1" applyAlignment="1" applyProtection="1">
      <alignment horizontal="center"/>
      <protection/>
    </xf>
    <xf numFmtId="0" fontId="0" fillId="0" borderId="17" xfId="23" applyFont="1" applyBorder="1" applyProtection="1">
      <alignment/>
      <protection/>
    </xf>
    <xf numFmtId="49" fontId="0" fillId="0" borderId="0" xfId="23" applyNumberFormat="1" applyFont="1" applyBorder="1" applyAlignment="1" applyProtection="1">
      <alignment vertical="top"/>
      <protection/>
    </xf>
    <xf numFmtId="0" fontId="0" fillId="0" borderId="0" xfId="23" applyFont="1" applyBorder="1" applyAlignment="1" applyProtection="1">
      <alignment vertical="top"/>
      <protection/>
    </xf>
    <xf numFmtId="0" fontId="0" fillId="0" borderId="43" xfId="23" applyFont="1" applyBorder="1" applyAlignment="1" applyProtection="1">
      <alignment/>
      <protection/>
    </xf>
    <xf numFmtId="0" fontId="0" fillId="0" borderId="44" xfId="23" applyFont="1" applyBorder="1" applyAlignment="1" applyProtection="1">
      <alignment/>
      <protection/>
    </xf>
    <xf numFmtId="0" fontId="0" fillId="0" borderId="45" xfId="23" applyFont="1" applyBorder="1" applyAlignment="1" applyProtection="1">
      <alignment horizontal="center" vertical="center"/>
      <protection/>
    </xf>
    <xf numFmtId="0" fontId="0" fillId="0" borderId="1" xfId="23" applyFont="1" applyBorder="1" applyProtection="1">
      <alignment/>
      <protection/>
    </xf>
    <xf numFmtId="49" fontId="0" fillId="0" borderId="0" xfId="23" applyNumberFormat="1" applyFont="1" applyBorder="1" applyAlignment="1" applyProtection="1">
      <alignment/>
      <protection/>
    </xf>
    <xf numFmtId="0" fontId="0" fillId="0" borderId="46" xfId="23" applyFont="1" applyBorder="1" applyAlignment="1" applyProtection="1">
      <alignment/>
      <protection/>
    </xf>
    <xf numFmtId="0" fontId="0" fillId="0" borderId="47" xfId="23" applyFont="1" applyBorder="1" applyAlignment="1" applyProtection="1">
      <alignment/>
      <protection/>
    </xf>
    <xf numFmtId="0" fontId="0" fillId="0" borderId="48" xfId="23" applyFont="1" applyBorder="1" applyAlignment="1" applyProtection="1">
      <alignment horizontal="center" vertical="center"/>
      <protection/>
    </xf>
    <xf numFmtId="0" fontId="0" fillId="0" borderId="49" xfId="23" applyFont="1" applyBorder="1" applyProtection="1">
      <alignment/>
      <protection/>
    </xf>
    <xf numFmtId="0" fontId="0" fillId="0" borderId="49" xfId="23" applyFont="1" applyBorder="1" applyAlignment="1" applyProtection="1">
      <alignment horizontal="center"/>
      <protection/>
    </xf>
    <xf numFmtId="0" fontId="0" fillId="0" borderId="0" xfId="23" applyFont="1" applyBorder="1" applyAlignment="1" applyProtection="1">
      <alignment horizontal="right"/>
      <protection/>
    </xf>
    <xf numFmtId="0" fontId="0" fillId="0" borderId="0" xfId="23" applyFont="1" applyBorder="1" applyProtection="1">
      <alignment/>
      <protection/>
    </xf>
    <xf numFmtId="0" fontId="0" fillId="0" borderId="0" xfId="23" applyFont="1" applyAlignment="1" applyProtection="1">
      <alignment/>
      <protection/>
    </xf>
    <xf numFmtId="0" fontId="10" fillId="0" borderId="50" xfId="23" applyFont="1" applyBorder="1" applyAlignment="1">
      <alignment horizontal="center" vertical="center" wrapText="1"/>
      <protection/>
    </xf>
    <xf numFmtId="182" fontId="0" fillId="0" borderId="50" xfId="0" applyNumberFormat="1" applyFont="1" applyBorder="1" applyAlignment="1">
      <alignment horizontal="center" vertical="center"/>
    </xf>
    <xf numFmtId="182" fontId="0" fillId="0" borderId="51" xfId="0" applyNumberFormat="1" applyFont="1" applyBorder="1" applyAlignment="1">
      <alignment horizontal="center" vertical="center"/>
    </xf>
    <xf numFmtId="0" fontId="10" fillId="0" borderId="1" xfId="23" applyFont="1" applyBorder="1" applyAlignment="1">
      <alignment horizontal="center" vertical="center" wrapText="1"/>
      <protection/>
    </xf>
    <xf numFmtId="182" fontId="0" fillId="0" borderId="1" xfId="0" applyNumberFormat="1" applyFont="1" applyBorder="1" applyAlignment="1">
      <alignment horizontal="center" vertical="center"/>
    </xf>
    <xf numFmtId="182" fontId="0" fillId="0" borderId="27" xfId="0" applyNumberFormat="1" applyFont="1" applyBorder="1" applyAlignment="1">
      <alignment horizontal="center" vertical="center"/>
    </xf>
    <xf numFmtId="182" fontId="0" fillId="2" borderId="23" xfId="0" applyNumberFormat="1" applyFont="1" applyFill="1" applyBorder="1" applyAlignment="1">
      <alignment horizontal="center" vertical="center"/>
    </xf>
    <xf numFmtId="182" fontId="0" fillId="2" borderId="1" xfId="0" applyNumberFormat="1" applyFont="1" applyFill="1" applyBorder="1" applyAlignment="1">
      <alignment horizontal="center" vertical="center"/>
    </xf>
    <xf numFmtId="0" fontId="0" fillId="0" borderId="0" xfId="0" applyFont="1" applyBorder="1" applyAlignment="1">
      <alignment/>
    </xf>
    <xf numFmtId="0" fontId="10" fillId="0" borderId="3" xfId="23" applyFont="1" applyBorder="1" applyAlignment="1">
      <alignment horizontal="center" vertical="center" wrapText="1"/>
      <protection/>
    </xf>
    <xf numFmtId="182" fontId="0" fillId="0" borderId="3" xfId="0" applyNumberFormat="1" applyFont="1" applyBorder="1" applyAlignment="1">
      <alignment horizontal="center" vertical="center"/>
    </xf>
    <xf numFmtId="182" fontId="0" fillId="0" borderId="3" xfId="0" applyNumberFormat="1" applyFont="1" applyFill="1" applyBorder="1" applyAlignment="1">
      <alignment horizontal="center" vertical="center"/>
    </xf>
    <xf numFmtId="182" fontId="0" fillId="0" borderId="38" xfId="0" applyNumberFormat="1" applyFont="1" applyBorder="1" applyAlignment="1">
      <alignment horizontal="center" vertical="center"/>
    </xf>
    <xf numFmtId="0" fontId="0" fillId="0" borderId="0" xfId="0" applyFont="1" applyAlignment="1">
      <alignment/>
    </xf>
    <xf numFmtId="182" fontId="0" fillId="0" borderId="1" xfId="0" applyNumberFormat="1" applyFont="1" applyFill="1" applyBorder="1" applyAlignment="1">
      <alignment horizontal="center" vertical="center"/>
    </xf>
    <xf numFmtId="0" fontId="0" fillId="0" borderId="10" xfId="0" applyFont="1" applyBorder="1" applyAlignment="1">
      <alignment vertical="center" wrapText="1"/>
    </xf>
    <xf numFmtId="182" fontId="0" fillId="0" borderId="23" xfId="0" applyNumberFormat="1" applyFont="1" applyBorder="1" applyAlignment="1">
      <alignment horizontal="center" vertical="center"/>
    </xf>
    <xf numFmtId="182" fontId="0" fillId="0" borderId="23" xfId="0" applyNumberFormat="1" applyFont="1" applyFill="1" applyBorder="1" applyAlignment="1">
      <alignment horizontal="center" vertical="center"/>
    </xf>
    <xf numFmtId="0" fontId="0" fillId="0" borderId="11" xfId="0" applyFont="1" applyBorder="1" applyAlignment="1">
      <alignment vertical="center" wrapText="1"/>
    </xf>
    <xf numFmtId="182" fontId="0" fillId="0" borderId="6" xfId="0" applyNumberFormat="1" applyFont="1" applyBorder="1" applyAlignment="1">
      <alignment horizontal="center" vertical="center"/>
    </xf>
    <xf numFmtId="182" fontId="0" fillId="0" borderId="31" xfId="0" applyNumberFormat="1" applyFont="1" applyBorder="1" applyAlignment="1">
      <alignment horizontal="center" vertical="center"/>
    </xf>
    <xf numFmtId="182" fontId="0" fillId="0" borderId="17" xfId="0" applyNumberFormat="1" applyFont="1" applyBorder="1" applyAlignment="1">
      <alignment horizontal="center" vertical="center"/>
    </xf>
    <xf numFmtId="182" fontId="0" fillId="0" borderId="52" xfId="0" applyNumberFormat="1" applyFont="1" applyBorder="1" applyAlignment="1">
      <alignment horizontal="center" vertical="center"/>
    </xf>
    <xf numFmtId="182" fontId="0" fillId="0" borderId="36" xfId="0" applyNumberFormat="1" applyFont="1" applyBorder="1" applyAlignment="1">
      <alignment horizontal="center" vertical="center"/>
    </xf>
    <xf numFmtId="0" fontId="3" fillId="0" borderId="1" xfId="23" applyFont="1" applyBorder="1" applyAlignment="1" applyProtection="1">
      <alignment horizontal="center" vertical="center" wrapText="1"/>
      <protection/>
    </xf>
    <xf numFmtId="0" fontId="2" fillId="0" borderId="21" xfId="0" applyFont="1" applyBorder="1" applyAlignment="1" applyProtection="1">
      <alignment vertical="top"/>
      <protection/>
    </xf>
    <xf numFmtId="191" fontId="0" fillId="0" borderId="12" xfId="23" applyNumberFormat="1" applyFont="1" applyBorder="1" applyAlignment="1" applyProtection="1">
      <alignment horizontal="center" vertical="center"/>
      <protection/>
    </xf>
    <xf numFmtId="0" fontId="0" fillId="0" borderId="22"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Fill="1" applyBorder="1" applyAlignment="1" applyProtection="1">
      <alignment vertical="top"/>
      <protection/>
    </xf>
    <xf numFmtId="0" fontId="0" fillId="0" borderId="10"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0" fillId="0" borderId="47" xfId="0" applyBorder="1" applyAlignment="1" applyProtection="1">
      <alignment horizontal="center" vertical="center"/>
      <protection/>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21" xfId="0" applyBorder="1" applyAlignment="1" applyProtection="1">
      <alignment horizontal="center" vertical="center"/>
      <protection/>
    </xf>
    <xf numFmtId="0" fontId="0" fillId="0" borderId="0" xfId="0" applyFont="1" applyAlignment="1" applyProtection="1">
      <alignment horizontal="center" vertical="top"/>
      <protection/>
    </xf>
    <xf numFmtId="0" fontId="0" fillId="0" borderId="0" xfId="0" applyFill="1" applyBorder="1" applyAlignment="1">
      <alignment horizontal="center"/>
    </xf>
    <xf numFmtId="49" fontId="2" fillId="3" borderId="3" xfId="0" applyNumberFormat="1" applyFont="1" applyFill="1" applyBorder="1" applyAlignment="1" applyProtection="1">
      <alignment vertical="center" wrapText="1"/>
      <protection locked="0"/>
    </xf>
    <xf numFmtId="49" fontId="2" fillId="3" borderId="1" xfId="0" applyNumberFormat="1" applyFont="1" applyFill="1" applyBorder="1" applyAlignment="1" applyProtection="1">
      <alignment vertical="center" wrapText="1"/>
      <protection locked="0"/>
    </xf>
    <xf numFmtId="49" fontId="2" fillId="3" borderId="17" xfId="0" applyNumberFormat="1" applyFont="1" applyFill="1" applyBorder="1" applyAlignment="1" applyProtection="1">
      <alignment vertical="center" wrapText="1"/>
      <protection locked="0"/>
    </xf>
    <xf numFmtId="49" fontId="2" fillId="3" borderId="6" xfId="0" applyNumberFormat="1" applyFont="1" applyFill="1" applyBorder="1" applyAlignment="1" applyProtection="1">
      <alignment vertical="center" wrapText="1"/>
      <protection locked="0"/>
    </xf>
    <xf numFmtId="0" fontId="5" fillId="3" borderId="21" xfId="0" applyFont="1" applyFill="1" applyBorder="1" applyAlignment="1" applyProtection="1">
      <alignment horizontal="center" vertical="center"/>
      <protection locked="0"/>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center" vertical="top"/>
    </xf>
    <xf numFmtId="0" fontId="7" fillId="0" borderId="0" xfId="0" applyFont="1" applyAlignment="1">
      <alignment vertical="top" wrapText="1"/>
    </xf>
    <xf numFmtId="0" fontId="7" fillId="0" borderId="0" xfId="0" applyFont="1" applyAlignment="1">
      <alignment horizontal="center" vertical="center"/>
    </xf>
    <xf numFmtId="0" fontId="7" fillId="0" borderId="17" xfId="0" applyFont="1" applyBorder="1" applyAlignment="1">
      <alignment/>
    </xf>
    <xf numFmtId="0" fontId="7" fillId="0" borderId="18" xfId="0" applyFont="1" applyBorder="1" applyAlignment="1">
      <alignment vertical="center"/>
    </xf>
    <xf numFmtId="0" fontId="7" fillId="0" borderId="49" xfId="0" applyFont="1" applyBorder="1" applyAlignment="1">
      <alignment vertical="center"/>
    </xf>
    <xf numFmtId="0" fontId="7" fillId="0" borderId="35" xfId="0" applyFont="1" applyBorder="1" applyAlignment="1">
      <alignment vertical="center"/>
    </xf>
    <xf numFmtId="0" fontId="7" fillId="0" borderId="0" xfId="0" applyFont="1" applyBorder="1" applyAlignment="1">
      <alignment vertical="center"/>
    </xf>
    <xf numFmtId="0" fontId="7" fillId="0" borderId="45" xfId="0" applyFont="1" applyBorder="1" applyAlignment="1">
      <alignment horizontal="center"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48" xfId="0" applyFont="1" applyBorder="1" applyAlignment="1">
      <alignment vertical="center"/>
    </xf>
    <xf numFmtId="0" fontId="7" fillId="0" borderId="46" xfId="0" applyFont="1" applyBorder="1" applyAlignment="1">
      <alignment vertical="center"/>
    </xf>
    <xf numFmtId="0" fontId="7" fillId="0" borderId="53" xfId="0" applyFont="1" applyBorder="1" applyAlignment="1">
      <alignment vertical="center"/>
    </xf>
    <xf numFmtId="0" fontId="7" fillId="0" borderId="47" xfId="0" applyFont="1" applyBorder="1" applyAlignment="1">
      <alignment vertical="center"/>
    </xf>
    <xf numFmtId="0" fontId="10" fillId="0" borderId="1" xfId="23" applyFont="1" applyFill="1" applyBorder="1" applyAlignment="1">
      <alignment horizontal="center" vertical="center" wrapText="1"/>
      <protection/>
    </xf>
    <xf numFmtId="0" fontId="0" fillId="0" borderId="4" xfId="0" applyFont="1" applyFill="1" applyBorder="1" applyAlignment="1">
      <alignment vertical="center" wrapText="1"/>
    </xf>
    <xf numFmtId="0" fontId="0" fillId="0" borderId="4" xfId="0" applyFont="1" applyFill="1" applyBorder="1" applyAlignment="1">
      <alignment vertical="center"/>
    </xf>
    <xf numFmtId="0" fontId="0" fillId="0" borderId="1" xfId="0" applyFont="1" applyFill="1" applyBorder="1" applyAlignment="1">
      <alignment vertical="center"/>
    </xf>
    <xf numFmtId="49" fontId="7" fillId="0" borderId="0" xfId="0" applyNumberFormat="1" applyFont="1" applyAlignment="1">
      <alignment horizontal="right" vertical="top"/>
    </xf>
    <xf numFmtId="193" fontId="0" fillId="3" borderId="27" xfId="0" applyNumberFormat="1" applyFont="1" applyFill="1" applyBorder="1" applyAlignment="1" applyProtection="1">
      <alignment horizontal="left" vertical="center"/>
      <protection locked="0"/>
    </xf>
    <xf numFmtId="194" fontId="0" fillId="3" borderId="27" xfId="0" applyNumberFormat="1" applyFont="1" applyFill="1" applyBorder="1" applyAlignment="1" applyProtection="1">
      <alignment horizontal="left" vertical="center"/>
      <protection locked="0"/>
    </xf>
    <xf numFmtId="183" fontId="0" fillId="3" borderId="27" xfId="0" applyNumberFormat="1" applyFont="1" applyFill="1" applyBorder="1" applyAlignment="1" applyProtection="1">
      <alignment horizontal="left" vertical="center"/>
      <protection locked="0"/>
    </xf>
    <xf numFmtId="0" fontId="0" fillId="0" borderId="27" xfId="0" applyNumberFormat="1"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5" fillId="0" borderId="0" xfId="0" applyFont="1" applyFill="1" applyAlignment="1">
      <alignment/>
    </xf>
    <xf numFmtId="0" fontId="15" fillId="0" borderId="0" xfId="0" applyFont="1" applyAlignment="1">
      <alignment horizontal="left"/>
    </xf>
    <xf numFmtId="0" fontId="17" fillId="0" borderId="0" xfId="0" applyFont="1" applyAlignment="1">
      <alignment/>
    </xf>
    <xf numFmtId="0" fontId="17" fillId="0" borderId="0" xfId="0" applyFont="1" applyAlignment="1">
      <alignment horizont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54" xfId="0" applyFont="1" applyBorder="1" applyAlignment="1">
      <alignment horizontal="center" vertical="center"/>
    </xf>
    <xf numFmtId="0" fontId="17" fillId="0" borderId="55" xfId="21" applyFont="1" applyBorder="1">
      <alignment/>
      <protection/>
    </xf>
    <xf numFmtId="0" fontId="17" fillId="0" borderId="45" xfId="21" applyFont="1" applyBorder="1">
      <alignment/>
      <protection/>
    </xf>
    <xf numFmtId="0" fontId="17" fillId="0" borderId="55" xfId="21" applyFont="1" applyBorder="1" applyAlignment="1">
      <alignment horizontal="center"/>
      <protection/>
    </xf>
    <xf numFmtId="0" fontId="17" fillId="0" borderId="45" xfId="21" applyFont="1" applyBorder="1" applyAlignment="1">
      <alignment horizontal="center"/>
      <protection/>
    </xf>
    <xf numFmtId="0" fontId="17" fillId="0" borderId="56" xfId="21" applyFont="1" applyBorder="1" applyAlignment="1">
      <alignment horizontal="center"/>
      <protection/>
    </xf>
    <xf numFmtId="0" fontId="17" fillId="0" borderId="57" xfId="21" applyFont="1" applyBorder="1" applyAlignment="1">
      <alignment horizontal="center"/>
      <protection/>
    </xf>
    <xf numFmtId="0" fontId="17" fillId="0" borderId="58" xfId="21" applyFont="1" applyBorder="1" applyAlignment="1">
      <alignment horizontal="center"/>
      <protection/>
    </xf>
    <xf numFmtId="2" fontId="17" fillId="0" borderId="59" xfId="21" applyNumberFormat="1" applyFont="1" applyBorder="1" applyAlignment="1">
      <alignment horizontal="center"/>
      <protection/>
    </xf>
    <xf numFmtId="0" fontId="17" fillId="0" borderId="60" xfId="21" applyFont="1" applyBorder="1" applyAlignment="1">
      <alignment horizontal="center"/>
      <protection/>
    </xf>
    <xf numFmtId="0" fontId="17" fillId="0" borderId="43" xfId="21" applyFont="1" applyBorder="1">
      <alignment/>
      <protection/>
    </xf>
    <xf numFmtId="0" fontId="17" fillId="0" borderId="61" xfId="21" applyFont="1" applyBorder="1" applyAlignment="1">
      <alignment horizontal="center"/>
      <protection/>
    </xf>
    <xf numFmtId="2" fontId="17" fillId="0" borderId="62" xfId="21" applyNumberFormat="1" applyFont="1" applyBorder="1" applyAlignment="1">
      <alignment horizontal="center"/>
      <protection/>
    </xf>
    <xf numFmtId="0" fontId="17" fillId="0" borderId="63" xfId="21" applyFont="1" applyBorder="1" applyAlignment="1">
      <alignment horizontal="center"/>
      <protection/>
    </xf>
    <xf numFmtId="0" fontId="17" fillId="0" borderId="52" xfId="21" applyFont="1" applyBorder="1">
      <alignment/>
      <protection/>
    </xf>
    <xf numFmtId="0" fontId="17" fillId="0" borderId="64" xfId="21" applyFont="1" applyBorder="1" applyAlignment="1">
      <alignment horizontal="center"/>
      <protection/>
    </xf>
    <xf numFmtId="0" fontId="17" fillId="0" borderId="17" xfId="21" applyFont="1" applyBorder="1" applyAlignment="1">
      <alignment horizontal="center"/>
      <protection/>
    </xf>
    <xf numFmtId="2" fontId="17" fillId="0" borderId="52" xfId="21" applyNumberFormat="1" applyFont="1" applyBorder="1" applyAlignment="1">
      <alignment horizontal="center"/>
      <protection/>
    </xf>
    <xf numFmtId="0" fontId="17" fillId="0" borderId="65" xfId="21" applyFont="1" applyBorder="1" applyAlignment="1">
      <alignment horizontal="center"/>
      <protection/>
    </xf>
    <xf numFmtId="0" fontId="17" fillId="0" borderId="66" xfId="21" applyFont="1" applyBorder="1" applyAlignment="1">
      <alignment horizontal="center"/>
      <protection/>
    </xf>
    <xf numFmtId="2" fontId="17" fillId="0" borderId="67" xfId="21" applyNumberFormat="1" applyFont="1" applyBorder="1" applyAlignment="1">
      <alignment horizontal="center"/>
      <protection/>
    </xf>
    <xf numFmtId="0" fontId="17" fillId="0" borderId="45" xfId="21" applyFont="1" applyBorder="1" applyAlignment="1">
      <alignment horizontal="left"/>
      <protection/>
    </xf>
    <xf numFmtId="0" fontId="17" fillId="0" borderId="68" xfId="21" applyFont="1" applyBorder="1">
      <alignment/>
      <protection/>
    </xf>
    <xf numFmtId="0" fontId="17" fillId="0" borderId="69" xfId="21" applyFont="1" applyBorder="1">
      <alignment/>
      <protection/>
    </xf>
    <xf numFmtId="2" fontId="17" fillId="0" borderId="56" xfId="21" applyNumberFormat="1" applyFont="1" applyBorder="1" applyAlignment="1">
      <alignment horizontal="center"/>
      <protection/>
    </xf>
    <xf numFmtId="0" fontId="17" fillId="0" borderId="70" xfId="21" applyFont="1" applyBorder="1" applyAlignment="1">
      <alignment horizontal="center"/>
      <protection/>
    </xf>
    <xf numFmtId="0" fontId="17" fillId="0" borderId="71" xfId="21" applyFont="1" applyBorder="1" applyAlignment="1">
      <alignment horizontal="center"/>
      <protection/>
    </xf>
    <xf numFmtId="2" fontId="17" fillId="0" borderId="72" xfId="21" applyNumberFormat="1" applyFont="1" applyBorder="1" applyAlignment="1">
      <alignment horizontal="center"/>
      <protection/>
    </xf>
    <xf numFmtId="0" fontId="17" fillId="0" borderId="73" xfId="21" applyFont="1" applyBorder="1">
      <alignment/>
      <protection/>
    </xf>
    <xf numFmtId="0" fontId="17" fillId="0" borderId="74" xfId="21" applyFont="1" applyBorder="1" applyAlignment="1">
      <alignment horizontal="center"/>
      <protection/>
    </xf>
    <xf numFmtId="0" fontId="17" fillId="0" borderId="75" xfId="21" applyFont="1" applyBorder="1">
      <alignment/>
      <protection/>
    </xf>
    <xf numFmtId="0" fontId="17" fillId="0" borderId="68" xfId="21" applyFont="1" applyBorder="1" applyAlignment="1">
      <alignment horizontal="center"/>
      <protection/>
    </xf>
    <xf numFmtId="0" fontId="17" fillId="0" borderId="69" xfId="21" applyFont="1" applyBorder="1" applyAlignment="1">
      <alignment horizontal="center"/>
      <protection/>
    </xf>
    <xf numFmtId="2" fontId="17" fillId="0" borderId="76" xfId="21" applyNumberFormat="1" applyFont="1" applyBorder="1" applyAlignment="1">
      <alignment horizontal="center"/>
      <protection/>
    </xf>
    <xf numFmtId="0" fontId="15" fillId="0" borderId="0" xfId="0" applyFont="1" applyAlignment="1">
      <alignment/>
    </xf>
    <xf numFmtId="0" fontId="17" fillId="0" borderId="77" xfId="0" applyFont="1" applyBorder="1" applyAlignment="1">
      <alignment horizontal="center" vertical="center"/>
    </xf>
    <xf numFmtId="0" fontId="17" fillId="0" borderId="56" xfId="21" applyFont="1" applyBorder="1">
      <alignment/>
      <protection/>
    </xf>
    <xf numFmtId="0" fontId="17" fillId="0" borderId="78" xfId="21" applyFont="1" applyBorder="1" applyAlignment="1">
      <alignment horizontal="center"/>
      <protection/>
    </xf>
    <xf numFmtId="2" fontId="17" fillId="0" borderId="74" xfId="21" applyNumberFormat="1" applyFont="1" applyBorder="1" applyAlignment="1">
      <alignment horizontal="center"/>
      <protection/>
    </xf>
    <xf numFmtId="195" fontId="18" fillId="0" borderId="79" xfId="21" applyNumberFormat="1" applyFont="1" applyBorder="1" applyAlignment="1">
      <alignment horizontal="center"/>
      <protection/>
    </xf>
    <xf numFmtId="2" fontId="17" fillId="0" borderId="58" xfId="21" applyNumberFormat="1" applyFont="1" applyBorder="1" applyAlignment="1">
      <alignment horizontal="center"/>
      <protection/>
    </xf>
    <xf numFmtId="195" fontId="18" fillId="0" borderId="59" xfId="21" applyNumberFormat="1" applyFont="1" applyBorder="1" applyAlignment="1">
      <alignment horizontal="center"/>
      <protection/>
    </xf>
    <xf numFmtId="195" fontId="17" fillId="0" borderId="59" xfId="21" applyNumberFormat="1" applyFont="1" applyBorder="1" applyAlignment="1">
      <alignment horizontal="center"/>
      <protection/>
    </xf>
    <xf numFmtId="0" fontId="17" fillId="0" borderId="80" xfId="21" applyFont="1" applyBorder="1">
      <alignment/>
      <protection/>
    </xf>
    <xf numFmtId="0" fontId="17" fillId="0" borderId="81" xfId="21" applyFont="1" applyBorder="1" applyAlignment="1">
      <alignment horizontal="center"/>
      <protection/>
    </xf>
    <xf numFmtId="0" fontId="17" fillId="0" borderId="58" xfId="21" applyFont="1" applyBorder="1" applyAlignment="1">
      <alignment horizontal="center" wrapText="1"/>
      <protection/>
    </xf>
    <xf numFmtId="0" fontId="17" fillId="0" borderId="56" xfId="21" applyFont="1" applyBorder="1" applyAlignment="1">
      <alignment horizontal="left"/>
      <protection/>
    </xf>
    <xf numFmtId="0" fontId="17" fillId="0" borderId="59" xfId="21" applyNumberFormat="1" applyFont="1" applyBorder="1" applyAlignment="1">
      <alignment horizontal="center"/>
      <protection/>
    </xf>
    <xf numFmtId="2" fontId="17" fillId="0" borderId="65" xfId="21" applyNumberFormat="1" applyFont="1" applyBorder="1" applyAlignment="1">
      <alignment horizontal="center"/>
      <protection/>
    </xf>
    <xf numFmtId="0" fontId="17" fillId="0" borderId="56" xfId="21" applyNumberFormat="1" applyFont="1" applyBorder="1" applyAlignment="1">
      <alignment horizontal="center"/>
      <protection/>
    </xf>
    <xf numFmtId="0" fontId="17" fillId="0" borderId="82" xfId="21" applyFont="1" applyBorder="1" applyAlignment="1">
      <alignment horizontal="center"/>
      <protection/>
    </xf>
    <xf numFmtId="0" fontId="17" fillId="0" borderId="83" xfId="21" applyFont="1" applyBorder="1" applyAlignment="1">
      <alignment horizontal="center"/>
      <protection/>
    </xf>
    <xf numFmtId="2" fontId="17" fillId="0" borderId="83" xfId="21" applyNumberFormat="1" applyFont="1" applyBorder="1" applyAlignment="1">
      <alignment horizontal="center"/>
      <protection/>
    </xf>
    <xf numFmtId="0" fontId="17" fillId="0" borderId="84" xfId="21" applyFont="1" applyBorder="1">
      <alignment/>
      <protection/>
    </xf>
    <xf numFmtId="0" fontId="17" fillId="0" borderId="85" xfId="21" applyFont="1" applyBorder="1" applyAlignment="1">
      <alignment horizontal="center"/>
      <protection/>
    </xf>
    <xf numFmtId="2" fontId="17" fillId="0" borderId="66" xfId="21" applyNumberFormat="1" applyFont="1" applyBorder="1" applyAlignment="1">
      <alignment horizontal="center"/>
      <protection/>
    </xf>
    <xf numFmtId="195" fontId="17" fillId="0" borderId="67" xfId="21" applyNumberFormat="1" applyFont="1" applyBorder="1" applyAlignment="1">
      <alignment horizontal="center"/>
      <protection/>
    </xf>
    <xf numFmtId="0" fontId="17" fillId="0" borderId="86" xfId="21" applyFont="1" applyBorder="1">
      <alignment/>
      <protection/>
    </xf>
    <xf numFmtId="0" fontId="17" fillId="0" borderId="86" xfId="21" applyFont="1" applyBorder="1" applyAlignment="1">
      <alignment horizontal="center"/>
      <protection/>
    </xf>
    <xf numFmtId="0" fontId="17" fillId="0" borderId="87" xfId="21" applyFont="1" applyBorder="1" applyAlignment="1">
      <alignment horizontal="center"/>
      <protection/>
    </xf>
    <xf numFmtId="195" fontId="17" fillId="0" borderId="88" xfId="21" applyNumberFormat="1" applyFont="1" applyBorder="1" applyAlignment="1">
      <alignment horizontal="center"/>
      <protection/>
    </xf>
    <xf numFmtId="0" fontId="0" fillId="0" borderId="21" xfId="0" applyBorder="1" applyAlignment="1">
      <alignment vertical="center"/>
    </xf>
    <xf numFmtId="0" fontId="0" fillId="0" borderId="1" xfId="0" applyFont="1" applyBorder="1" applyAlignment="1">
      <alignment vertical="center"/>
    </xf>
    <xf numFmtId="0" fontId="0" fillId="0" borderId="1" xfId="0" applyFont="1" applyBorder="1" applyAlignment="1" applyProtection="1">
      <alignment vertical="center"/>
      <protection/>
    </xf>
    <xf numFmtId="0" fontId="0" fillId="0" borderId="21" xfId="0" applyFont="1" applyFill="1" applyBorder="1" applyAlignment="1">
      <alignment vertical="center"/>
    </xf>
    <xf numFmtId="0" fontId="19" fillId="0" borderId="21" xfId="23" applyFont="1" applyBorder="1" applyAlignment="1" applyProtection="1">
      <alignment horizontal="center" vertical="center" wrapText="1"/>
      <protection/>
    </xf>
    <xf numFmtId="0" fontId="19" fillId="0" borderId="1" xfId="23" applyFont="1" applyBorder="1" applyAlignment="1" applyProtection="1">
      <alignment horizontal="center" vertical="center" wrapText="1"/>
      <protection/>
    </xf>
    <xf numFmtId="0" fontId="2" fillId="3" borderId="89" xfId="0" applyFont="1" applyFill="1" applyBorder="1" applyAlignment="1" applyProtection="1">
      <alignment shrinkToFit="1"/>
      <protection locked="0"/>
    </xf>
    <xf numFmtId="0" fontId="2" fillId="3" borderId="89" xfId="0" applyNumberFormat="1" applyFont="1" applyFill="1" applyBorder="1" applyAlignment="1" applyProtection="1">
      <alignment horizontal="right" shrinkToFit="1"/>
      <protection locked="0"/>
    </xf>
    <xf numFmtId="0" fontId="2" fillId="3" borderId="1" xfId="0" applyFont="1" applyFill="1" applyBorder="1" applyAlignment="1" applyProtection="1">
      <alignment shrinkToFit="1"/>
      <protection locked="0"/>
    </xf>
    <xf numFmtId="0" fontId="3" fillId="0" borderId="7" xfId="23" applyFont="1" applyBorder="1" applyAlignment="1" applyProtection="1">
      <alignment vertical="top" wrapText="1"/>
      <protection/>
    </xf>
    <xf numFmtId="0" fontId="3" fillId="0" borderId="8" xfId="23" applyFont="1" applyBorder="1" applyAlignment="1" applyProtection="1">
      <alignment vertical="top" wrapText="1"/>
      <protection/>
    </xf>
    <xf numFmtId="0" fontId="3" fillId="0" borderId="8" xfId="23" applyFont="1" applyBorder="1" applyAlignment="1" applyProtection="1">
      <alignment vertical="center"/>
      <protection/>
    </xf>
    <xf numFmtId="0" fontId="3" fillId="0" borderId="54" xfId="23" applyFont="1" applyBorder="1" applyAlignment="1" applyProtection="1">
      <alignment vertical="top" wrapText="1"/>
      <protection/>
    </xf>
    <xf numFmtId="49" fontId="0" fillId="3" borderId="38" xfId="0" applyNumberFormat="1" applyFont="1" applyFill="1" applyBorder="1" applyAlignment="1" applyProtection="1">
      <alignment horizontal="left" vertical="center"/>
      <protection locked="0"/>
    </xf>
    <xf numFmtId="0" fontId="2" fillId="3" borderId="90" xfId="0" applyFont="1" applyFill="1" applyBorder="1" applyAlignment="1" applyProtection="1">
      <alignment horizontal="center" shrinkToFit="1"/>
      <protection locked="0"/>
    </xf>
    <xf numFmtId="0" fontId="2" fillId="3" borderId="90" xfId="0" applyFont="1" applyFill="1" applyBorder="1" applyAlignment="1" applyProtection="1">
      <alignment shrinkToFit="1"/>
      <protection locked="0"/>
    </xf>
    <xf numFmtId="181" fontId="2" fillId="3" borderId="1" xfId="0" applyNumberFormat="1" applyFont="1" applyFill="1" applyBorder="1" applyAlignment="1" applyProtection="1">
      <alignment shrinkToFit="1"/>
      <protection locked="0"/>
    </xf>
    <xf numFmtId="0" fontId="2" fillId="3" borderId="1" xfId="0" applyFont="1" applyFill="1" applyBorder="1" applyAlignment="1" applyProtection="1">
      <alignment horizontal="center" shrinkToFit="1"/>
      <protection locked="0"/>
    </xf>
    <xf numFmtId="0" fontId="2" fillId="3" borderId="1" xfId="0" applyFont="1" applyFill="1" applyBorder="1" applyAlignment="1" applyProtection="1">
      <alignment horizontal="right" shrinkToFit="1"/>
      <protection locked="0"/>
    </xf>
    <xf numFmtId="0" fontId="2" fillId="0" borderId="1" xfId="0" applyFont="1" applyBorder="1" applyAlignment="1" applyProtection="1">
      <alignment shrinkToFit="1"/>
      <protection locked="0"/>
    </xf>
    <xf numFmtId="0" fontId="5" fillId="3" borderId="1" xfId="0" applyFont="1" applyFill="1" applyBorder="1" applyAlignment="1" applyProtection="1">
      <alignment horizontal="center" vertical="center"/>
      <protection locked="0"/>
    </xf>
    <xf numFmtId="180" fontId="0" fillId="0" borderId="10" xfId="0" applyNumberFormat="1" applyFont="1" applyFill="1" applyBorder="1" applyAlignment="1" applyProtection="1">
      <alignment vertical="top"/>
      <protection/>
    </xf>
    <xf numFmtId="0" fontId="0" fillId="0" borderId="0" xfId="0" applyAlignment="1" applyProtection="1">
      <alignment/>
      <protection/>
    </xf>
    <xf numFmtId="0" fontId="2" fillId="0" borderId="7" xfId="0" applyFont="1" applyBorder="1" applyAlignment="1">
      <alignment horizontal="center" vertical="center"/>
    </xf>
    <xf numFmtId="0" fontId="2" fillId="0" borderId="54" xfId="0" applyFont="1" applyBorder="1" applyAlignment="1">
      <alignment horizontal="center" vertical="center"/>
    </xf>
    <xf numFmtId="0" fontId="2" fillId="0" borderId="91" xfId="0" applyFont="1" applyBorder="1" applyAlignment="1">
      <alignment/>
    </xf>
    <xf numFmtId="0" fontId="2" fillId="0" borderId="80" xfId="0" applyFont="1" applyBorder="1" applyAlignment="1">
      <alignment/>
    </xf>
    <xf numFmtId="0" fontId="2" fillId="0" borderId="4" xfId="0" applyFont="1" applyBorder="1" applyAlignment="1">
      <alignment/>
    </xf>
    <xf numFmtId="0" fontId="2" fillId="0" borderId="27" xfId="0" applyFont="1" applyBorder="1" applyAlignment="1">
      <alignment/>
    </xf>
    <xf numFmtId="0" fontId="2" fillId="0" borderId="5" xfId="0" applyFont="1" applyBorder="1" applyAlignment="1">
      <alignment/>
    </xf>
    <xf numFmtId="0" fontId="2" fillId="0" borderId="31" xfId="0" applyFont="1" applyBorder="1" applyAlignment="1">
      <alignment/>
    </xf>
    <xf numFmtId="182" fontId="0" fillId="0" borderId="1" xfId="23" applyNumberFormat="1" applyFont="1" applyBorder="1" applyAlignment="1" applyProtection="1">
      <alignment horizontal="right" vertical="center"/>
      <protection/>
    </xf>
    <xf numFmtId="0" fontId="0" fillId="0" borderId="0" xfId="0" applyAlignment="1" applyProtection="1">
      <alignment horizontal="center"/>
      <protection/>
    </xf>
    <xf numFmtId="0" fontId="3" fillId="0" borderId="1" xfId="0" applyFont="1" applyFill="1" applyBorder="1" applyAlignment="1" applyProtection="1">
      <alignment horizontal="center" vertical="center" wrapText="1"/>
      <protection/>
    </xf>
    <xf numFmtId="0" fontId="3" fillId="0" borderId="46" xfId="0" applyFont="1" applyFill="1" applyBorder="1" applyAlignment="1" applyProtection="1">
      <alignment horizontal="center" vertical="center" wrapText="1"/>
      <protection/>
    </xf>
    <xf numFmtId="0" fontId="3" fillId="0" borderId="92" xfId="0" applyFont="1" applyFill="1" applyBorder="1" applyAlignment="1" applyProtection="1">
      <alignment horizontal="center" vertical="center" wrapText="1"/>
      <protection/>
    </xf>
    <xf numFmtId="0" fontId="3" fillId="0" borderId="93" xfId="0" applyFont="1" applyFill="1" applyBorder="1" applyAlignment="1" applyProtection="1">
      <alignment horizontal="right" vertical="center" wrapText="1"/>
      <protection/>
    </xf>
    <xf numFmtId="0" fontId="3" fillId="0" borderId="92" xfId="0" applyFont="1" applyFill="1" applyBorder="1" applyAlignment="1" applyProtection="1">
      <alignment horizontal="left" vertical="center" wrapText="1"/>
      <protection/>
    </xf>
    <xf numFmtId="0" fontId="3" fillId="0" borderId="1" xfId="0" applyFont="1" applyBorder="1" applyAlignment="1" applyProtection="1">
      <alignment horizontal="center" vertical="center"/>
      <protection/>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protection/>
    </xf>
    <xf numFmtId="180" fontId="2" fillId="0" borderId="1" xfId="0" applyNumberFormat="1" applyFont="1" applyBorder="1" applyAlignment="1" applyProtection="1">
      <alignment shrinkToFit="1"/>
      <protection/>
    </xf>
    <xf numFmtId="0" fontId="2" fillId="0" borderId="1" xfId="0" applyFont="1" applyFill="1" applyBorder="1" applyAlignment="1" applyProtection="1">
      <alignment/>
      <protection/>
    </xf>
    <xf numFmtId="0" fontId="2" fillId="0" borderId="1" xfId="0" applyFont="1" applyBorder="1" applyAlignment="1" applyProtection="1">
      <alignment horizontal="center"/>
      <protection/>
    </xf>
    <xf numFmtId="181" fontId="2" fillId="0" borderId="1" xfId="0" applyNumberFormat="1" applyFont="1" applyBorder="1" applyAlignment="1" applyProtection="1">
      <alignment horizontal="center"/>
      <protection/>
    </xf>
    <xf numFmtId="0" fontId="2" fillId="0" borderId="0" xfId="0" applyFont="1" applyAlignment="1" applyProtection="1">
      <alignment/>
      <protection/>
    </xf>
    <xf numFmtId="0" fontId="11" fillId="0" borderId="0" xfId="22" applyFont="1" applyBorder="1" applyAlignment="1" applyProtection="1">
      <alignment/>
      <protection/>
    </xf>
    <xf numFmtId="0" fontId="14" fillId="0" borderId="0" xfId="22" applyFont="1" applyBorder="1" applyAlignment="1" applyProtection="1">
      <alignment/>
      <protection/>
    </xf>
    <xf numFmtId="0" fontId="11" fillId="0" borderId="0" xfId="22" applyFont="1" applyBorder="1" applyAlignment="1" applyProtection="1">
      <alignment vertical="top"/>
      <protection/>
    </xf>
    <xf numFmtId="0" fontId="14" fillId="0" borderId="0" xfId="22" applyFont="1" applyBorder="1" applyAlignment="1" applyProtection="1">
      <alignment vertical="top"/>
      <protection/>
    </xf>
    <xf numFmtId="0" fontId="2" fillId="0" borderId="0" xfId="0" applyFont="1" applyAlignment="1" applyProtection="1">
      <alignment horizontal="right"/>
      <protection/>
    </xf>
    <xf numFmtId="180" fontId="0" fillId="0" borderId="0" xfId="0" applyNumberFormat="1" applyAlignment="1" applyProtection="1">
      <alignment/>
      <protection/>
    </xf>
    <xf numFmtId="0" fontId="0" fillId="0" borderId="0" xfId="0" applyFill="1" applyAlignment="1" applyProtection="1">
      <alignment/>
      <protection/>
    </xf>
    <xf numFmtId="0" fontId="2" fillId="0" borderId="1" xfId="0" applyFont="1" applyFill="1" applyBorder="1" applyAlignment="1" applyProtection="1">
      <alignment shrinkToFit="1"/>
      <protection locked="0"/>
    </xf>
    <xf numFmtId="201" fontId="2" fillId="3" borderId="1" xfId="0" applyNumberFormat="1" applyFont="1" applyFill="1" applyBorder="1" applyAlignment="1" applyProtection="1">
      <alignment shrinkToFit="1"/>
      <protection locked="0"/>
    </xf>
    <xf numFmtId="49" fontId="0" fillId="3" borderId="27" xfId="0" applyNumberFormat="1" applyFont="1" applyFill="1" applyBorder="1" applyAlignment="1" applyProtection="1">
      <alignment horizontal="left" vertical="center"/>
      <protection locked="0"/>
    </xf>
    <xf numFmtId="182" fontId="0" fillId="3" borderId="6" xfId="0" applyNumberFormat="1" applyFont="1" applyFill="1" applyBorder="1" applyAlignment="1" applyProtection="1">
      <alignment horizontal="center" vertical="center"/>
      <protection locked="0"/>
    </xf>
    <xf numFmtId="182" fontId="0" fillId="3" borderId="31" xfId="0" applyNumberFormat="1" applyFont="1" applyFill="1" applyBorder="1" applyAlignment="1" applyProtection="1">
      <alignment horizontal="center" vertical="center"/>
      <protection locked="0"/>
    </xf>
    <xf numFmtId="0" fontId="21" fillId="0" borderId="0" xfId="0" applyFont="1" applyAlignment="1" applyProtection="1">
      <alignment/>
      <protection hidden="1"/>
    </xf>
    <xf numFmtId="0" fontId="20" fillId="0" borderId="0" xfId="0" applyFont="1" applyAlignment="1" applyProtection="1">
      <alignment horizontal="center"/>
      <protection hidden="1"/>
    </xf>
    <xf numFmtId="0" fontId="17" fillId="0" borderId="72" xfId="21" applyFont="1" applyBorder="1">
      <alignment/>
      <protection/>
    </xf>
    <xf numFmtId="0" fontId="17" fillId="0" borderId="94" xfId="21" applyFont="1" applyBorder="1">
      <alignment/>
      <protection/>
    </xf>
    <xf numFmtId="0" fontId="3" fillId="1" borderId="17" xfId="0" applyFont="1" applyFill="1" applyBorder="1" applyAlignment="1" applyProtection="1">
      <alignment vertical="center" wrapText="1"/>
      <protection/>
    </xf>
    <xf numFmtId="0" fontId="0" fillId="0" borderId="48" xfId="0" applyBorder="1" applyAlignment="1" applyProtection="1">
      <alignment/>
      <protection/>
    </xf>
    <xf numFmtId="0" fontId="3" fillId="0" borderId="1" xfId="0" applyFont="1" applyFill="1" applyBorder="1" applyAlignment="1" applyProtection="1">
      <alignment vertical="center" wrapText="1"/>
      <protection/>
    </xf>
    <xf numFmtId="0" fontId="3" fillId="0" borderId="35"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2" borderId="1" xfId="0" applyFont="1" applyFill="1" applyBorder="1" applyAlignment="1" applyProtection="1">
      <alignment vertical="center" wrapText="1"/>
      <protection/>
    </xf>
    <xf numFmtId="0" fontId="3" fillId="0" borderId="95" xfId="0" applyFont="1" applyBorder="1" applyAlignment="1" applyProtection="1">
      <alignment horizontal="center" vertical="center"/>
      <protection/>
    </xf>
    <xf numFmtId="0" fontId="3" fillId="0" borderId="96" xfId="0" applyFont="1" applyBorder="1" applyAlignment="1" applyProtection="1">
      <alignment horizontal="center" vertical="center"/>
      <protection/>
    </xf>
    <xf numFmtId="0" fontId="3" fillId="0" borderId="1" xfId="0" applyFont="1" applyFill="1" applyBorder="1" applyAlignment="1" applyProtection="1">
      <alignment horizontal="center" vertical="center" wrapText="1"/>
      <protection/>
    </xf>
    <xf numFmtId="0" fontId="3" fillId="0" borderId="1" xfId="0" applyFont="1" applyBorder="1" applyAlignment="1" applyProtection="1">
      <alignment/>
      <protection/>
    </xf>
    <xf numFmtId="0" fontId="7" fillId="0" borderId="0" xfId="0" applyFont="1" applyBorder="1" applyAlignment="1">
      <alignment horizontal="left" vertical="top" wrapText="1"/>
    </xf>
    <xf numFmtId="0" fontId="0" fillId="0" borderId="1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6" fillId="0" borderId="0" xfId="0" applyFont="1" applyAlignment="1">
      <alignment horizontal="center" vertical="center"/>
    </xf>
    <xf numFmtId="0" fontId="0" fillId="0" borderId="0" xfId="0" applyAlignment="1">
      <alignment horizontal="center"/>
    </xf>
    <xf numFmtId="0" fontId="0" fillId="0" borderId="4" xfId="0" applyFont="1" applyFill="1" applyBorder="1" applyAlignment="1">
      <alignment vertical="center" wrapText="1"/>
    </xf>
    <xf numFmtId="0" fontId="0" fillId="0" borderId="4" xfId="0" applyFont="1" applyFill="1" applyBorder="1" applyAlignment="1">
      <alignment wrapText="1"/>
    </xf>
    <xf numFmtId="0" fontId="0" fillId="0" borderId="5" xfId="0" applyFont="1" applyFill="1" applyBorder="1" applyAlignment="1">
      <alignment wrapText="1"/>
    </xf>
    <xf numFmtId="0" fontId="0" fillId="0" borderId="1" xfId="0" applyFont="1" applyFill="1" applyBorder="1" applyAlignment="1">
      <alignment vertical="center" wrapText="1"/>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1" xfId="0" applyBorder="1" applyAlignment="1">
      <alignment vertical="center" wrapText="1"/>
    </xf>
    <xf numFmtId="0" fontId="0" fillId="0" borderId="2" xfId="0" applyFont="1" applyBorder="1" applyAlignment="1">
      <alignment vertical="center"/>
    </xf>
    <xf numFmtId="0" fontId="0" fillId="0" borderId="3" xfId="0" applyFont="1" applyBorder="1" applyAlignment="1">
      <alignment vertical="center"/>
    </xf>
    <xf numFmtId="0" fontId="3" fillId="0" borderId="2"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72" xfId="0"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1" xfId="0" applyFont="1" applyBorder="1" applyAlignment="1" applyProtection="1">
      <alignment vertical="center" wrapText="1"/>
      <protection/>
    </xf>
    <xf numFmtId="0" fontId="3" fillId="0" borderId="10"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12" fillId="0" borderId="1" xfId="0" applyFont="1" applyFill="1" applyBorder="1" applyAlignment="1" applyProtection="1">
      <alignment horizontal="center" vertical="center" wrapText="1"/>
      <protection/>
    </xf>
    <xf numFmtId="0" fontId="12" fillId="0" borderId="1" xfId="0" applyFont="1" applyBorder="1" applyAlignment="1" applyProtection="1">
      <alignment/>
      <protection/>
    </xf>
    <xf numFmtId="0" fontId="3" fillId="0" borderId="1" xfId="0" applyFont="1" applyBorder="1" applyAlignment="1" applyProtection="1">
      <alignment wrapText="1"/>
      <protection/>
    </xf>
    <xf numFmtId="0" fontId="3" fillId="1" borderId="17" xfId="0" applyFont="1" applyFill="1" applyBorder="1" applyAlignment="1" applyProtection="1">
      <alignment horizontal="center" vertical="center" wrapText="1"/>
      <protection/>
    </xf>
    <xf numFmtId="0" fontId="0" fillId="1" borderId="48" xfId="0" applyFill="1" applyBorder="1" applyAlignment="1">
      <alignment horizontal="center" vertical="center" wrapText="1"/>
    </xf>
    <xf numFmtId="0" fontId="0" fillId="0" borderId="18" xfId="23" applyFont="1" applyBorder="1" applyAlignment="1" applyProtection="1">
      <alignment horizontal="center" vertical="center" wrapText="1"/>
      <protection/>
    </xf>
    <xf numFmtId="0" fontId="0" fillId="0" borderId="35" xfId="0" applyFont="1" applyBorder="1" applyAlignment="1" applyProtection="1">
      <alignment/>
      <protection/>
    </xf>
    <xf numFmtId="0" fontId="0" fillId="0" borderId="46" xfId="0" applyFont="1" applyBorder="1" applyAlignment="1" applyProtection="1">
      <alignment/>
      <protection/>
    </xf>
    <xf numFmtId="0" fontId="0" fillId="0" borderId="47" xfId="0" applyFont="1" applyBorder="1" applyAlignment="1" applyProtection="1">
      <alignment/>
      <protection/>
    </xf>
    <xf numFmtId="0" fontId="0" fillId="0" borderId="10" xfId="23" applyFont="1" applyBorder="1" applyAlignment="1" applyProtection="1">
      <alignment horizontal="center"/>
      <protection/>
    </xf>
    <xf numFmtId="0" fontId="0" fillId="0" borderId="22" xfId="23" applyFont="1" applyBorder="1" applyAlignment="1" applyProtection="1">
      <alignment horizontal="center"/>
      <protection/>
    </xf>
    <xf numFmtId="0" fontId="0" fillId="0" borderId="21" xfId="23" applyFont="1" applyBorder="1" applyAlignment="1" applyProtection="1">
      <alignment horizontal="center"/>
      <protection/>
    </xf>
    <xf numFmtId="0" fontId="0" fillId="0" borderId="18" xfId="23" applyFont="1" applyBorder="1" applyAlignment="1" applyProtection="1">
      <alignment horizontal="center" vertical="center" wrapText="1"/>
      <protection/>
    </xf>
    <xf numFmtId="0" fontId="0" fillId="0" borderId="35" xfId="0" applyFont="1" applyBorder="1" applyAlignment="1" applyProtection="1">
      <alignment/>
      <protection/>
    </xf>
    <xf numFmtId="0" fontId="0" fillId="0" borderId="46" xfId="0" applyFont="1" applyBorder="1" applyAlignment="1" applyProtection="1">
      <alignment/>
      <protection/>
    </xf>
    <xf numFmtId="0" fontId="0" fillId="0" borderId="47" xfId="0" applyFont="1" applyBorder="1" applyAlignment="1" applyProtection="1">
      <alignment/>
      <protection/>
    </xf>
    <xf numFmtId="0" fontId="0" fillId="0" borderId="10" xfId="23" applyFont="1" applyBorder="1" applyAlignment="1" applyProtection="1">
      <alignment horizontal="center"/>
      <protection/>
    </xf>
    <xf numFmtId="0" fontId="0" fillId="0" borderId="22" xfId="23" applyFont="1" applyBorder="1" applyAlignment="1" applyProtection="1">
      <alignment horizontal="center"/>
      <protection/>
    </xf>
    <xf numFmtId="0" fontId="0" fillId="0" borderId="21" xfId="23" applyFont="1" applyBorder="1" applyAlignment="1" applyProtection="1">
      <alignment horizontal="center"/>
      <protection/>
    </xf>
    <xf numFmtId="0" fontId="13" fillId="0" borderId="32" xfId="0" applyFont="1" applyBorder="1" applyAlignment="1" applyProtection="1">
      <alignment horizontal="center" vertical="top"/>
      <protection/>
    </xf>
    <xf numFmtId="0" fontId="13" fillId="0" borderId="33" xfId="0" applyFont="1" applyBorder="1" applyAlignment="1" applyProtection="1">
      <alignment horizontal="center" vertical="top"/>
      <protection/>
    </xf>
    <xf numFmtId="0" fontId="0" fillId="0" borderId="33" xfId="0" applyFont="1" applyBorder="1" applyAlignment="1" applyProtection="1">
      <alignment/>
      <protection/>
    </xf>
    <xf numFmtId="0" fontId="0" fillId="0" borderId="34" xfId="0" applyFont="1" applyBorder="1" applyAlignment="1" applyProtection="1">
      <alignment/>
      <protection/>
    </xf>
    <xf numFmtId="190" fontId="13" fillId="0" borderId="32" xfId="0" applyNumberFormat="1" applyFont="1" applyBorder="1" applyAlignment="1" applyProtection="1">
      <alignment horizontal="center" vertical="top"/>
      <protection/>
    </xf>
    <xf numFmtId="190" fontId="13" fillId="0" borderId="33" xfId="0" applyNumberFormat="1" applyFont="1" applyBorder="1" applyAlignment="1" applyProtection="1">
      <alignment horizontal="center" vertical="top"/>
      <protection/>
    </xf>
    <xf numFmtId="0" fontId="0" fillId="0" borderId="33" xfId="0" applyFont="1" applyBorder="1" applyAlignment="1" applyProtection="1">
      <alignment vertical="top"/>
      <protection/>
    </xf>
    <xf numFmtId="0" fontId="0" fillId="0" borderId="34" xfId="0" applyFont="1" applyBorder="1" applyAlignment="1" applyProtection="1">
      <alignment vertical="top"/>
      <protection/>
    </xf>
    <xf numFmtId="0" fontId="0" fillId="0" borderId="17" xfId="23" applyFont="1" applyBorder="1" applyAlignment="1" applyProtection="1">
      <alignment horizontal="center" vertical="center"/>
      <protection/>
    </xf>
    <xf numFmtId="0" fontId="0" fillId="0" borderId="48" xfId="0" applyFont="1" applyBorder="1" applyAlignment="1" applyProtection="1">
      <alignment horizontal="center"/>
      <protection/>
    </xf>
    <xf numFmtId="0" fontId="0" fillId="0" borderId="17" xfId="23" applyFont="1" applyBorder="1" applyAlignment="1" applyProtection="1">
      <alignment horizontal="center" vertical="center"/>
      <protection/>
    </xf>
    <xf numFmtId="0" fontId="0" fillId="0" borderId="17" xfId="23" applyFont="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1" xfId="23" applyFont="1" applyBorder="1" applyAlignment="1" applyProtection="1">
      <alignment vertical="center" wrapText="1"/>
      <protection/>
    </xf>
    <xf numFmtId="0" fontId="3" fillId="0" borderId="10" xfId="23" applyFont="1" applyBorder="1" applyAlignment="1" applyProtection="1">
      <alignment horizontal="center"/>
      <protection/>
    </xf>
    <xf numFmtId="0" fontId="3" fillId="0" borderId="22" xfId="23" applyFont="1" applyBorder="1" applyAlignment="1" applyProtection="1">
      <alignment horizontal="center"/>
      <protection/>
    </xf>
    <xf numFmtId="0" fontId="3" fillId="0" borderId="21" xfId="23" applyFont="1" applyBorder="1" applyAlignment="1" applyProtection="1">
      <alignment horizontal="center"/>
      <protection/>
    </xf>
    <xf numFmtId="0" fontId="3" fillId="0" borderId="7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1" xfId="0" applyFont="1" applyBorder="1" applyAlignment="1">
      <alignment horizontal="center"/>
    </xf>
    <xf numFmtId="0" fontId="3" fillId="0" borderId="17" xfId="0" applyFont="1" applyFill="1" applyBorder="1" applyAlignment="1">
      <alignment vertical="center" wrapText="1"/>
    </xf>
    <xf numFmtId="0" fontId="3" fillId="0" borderId="69" xfId="0" applyFont="1" applyFill="1" applyBorder="1" applyAlignment="1">
      <alignment vertical="center"/>
    </xf>
    <xf numFmtId="0" fontId="3" fillId="0" borderId="1" xfId="0" applyFont="1" applyFill="1" applyBorder="1" applyAlignment="1">
      <alignment horizontal="center"/>
    </xf>
    <xf numFmtId="0" fontId="3" fillId="0" borderId="1" xfId="0" applyFont="1" applyFill="1" applyBorder="1" applyAlignment="1">
      <alignment horizontal="center" vertical="center"/>
    </xf>
    <xf numFmtId="0" fontId="3" fillId="0" borderId="97" xfId="0" applyFont="1" applyBorder="1" applyAlignment="1">
      <alignment horizontal="center" vertical="center"/>
    </xf>
    <xf numFmtId="0" fontId="3" fillId="0" borderId="36" xfId="0" applyFont="1" applyBorder="1" applyAlignment="1">
      <alignment horizontal="center" vertical="center"/>
    </xf>
    <xf numFmtId="0" fontId="3" fillId="0" borderId="98" xfId="0" applyFont="1" applyBorder="1" applyAlignment="1">
      <alignment horizontal="center" vertical="center"/>
    </xf>
    <xf numFmtId="0" fontId="3" fillId="0" borderId="46" xfId="0" applyFont="1" applyBorder="1" applyAlignment="1">
      <alignment horizontal="center" vertical="center"/>
    </xf>
    <xf numFmtId="0" fontId="3" fillId="0" borderId="53"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vertical="center" wrapText="1"/>
    </xf>
    <xf numFmtId="0" fontId="3" fillId="0" borderId="69" xfId="0" applyFont="1" applyBorder="1" applyAlignment="1">
      <alignment vertical="center"/>
    </xf>
    <xf numFmtId="0" fontId="2" fillId="0" borderId="94" xfId="0" applyFont="1" applyBorder="1" applyAlignment="1">
      <alignment/>
    </xf>
    <xf numFmtId="0" fontId="2" fillId="0" borderId="36" xfId="0" applyFont="1" applyBorder="1" applyAlignment="1">
      <alignment/>
    </xf>
    <xf numFmtId="0" fontId="2" fillId="0" borderId="98" xfId="0" applyFont="1" applyBorder="1" applyAlignment="1">
      <alignment/>
    </xf>
    <xf numFmtId="0" fontId="2" fillId="0" borderId="73" xfId="0" applyFont="1" applyBorder="1" applyAlignment="1">
      <alignment/>
    </xf>
    <xf numFmtId="0" fontId="2" fillId="0" borderId="0" xfId="0" applyFont="1" applyBorder="1" applyAlignment="1">
      <alignment/>
    </xf>
    <xf numFmtId="0" fontId="2" fillId="0" borderId="44" xfId="0" applyFont="1" applyBorder="1" applyAlignment="1">
      <alignment/>
    </xf>
    <xf numFmtId="0" fontId="2" fillId="0" borderId="75" xfId="0" applyFont="1" applyBorder="1" applyAlignment="1">
      <alignment/>
    </xf>
    <xf numFmtId="0" fontId="2" fillId="0" borderId="99" xfId="0" applyFont="1" applyBorder="1" applyAlignment="1">
      <alignment/>
    </xf>
    <xf numFmtId="0" fontId="2" fillId="0" borderId="100" xfId="0" applyFont="1" applyBorder="1" applyAlignment="1">
      <alignment/>
    </xf>
    <xf numFmtId="0" fontId="3" fillId="0" borderId="71" xfId="0" applyFont="1" applyBorder="1" applyAlignment="1">
      <alignment horizontal="center" vertical="center" wrapText="1"/>
    </xf>
    <xf numFmtId="0" fontId="0" fillId="0" borderId="45" xfId="0" applyFont="1" applyBorder="1" applyAlignment="1">
      <alignment/>
    </xf>
    <xf numFmtId="0" fontId="0" fillId="0" borderId="69" xfId="0" applyFont="1" applyBorder="1" applyAlignment="1">
      <alignment/>
    </xf>
    <xf numFmtId="0" fontId="0" fillId="0" borderId="70" xfId="0" applyFont="1" applyBorder="1" applyAlignment="1">
      <alignment vertical="center" wrapText="1"/>
    </xf>
    <xf numFmtId="0" fontId="0" fillId="0" borderId="55" xfId="0" applyFont="1" applyBorder="1" applyAlignment="1">
      <alignment vertical="center" wrapText="1"/>
    </xf>
    <xf numFmtId="0" fontId="0" fillId="0" borderId="68" xfId="0" applyFont="1" applyBorder="1" applyAlignment="1">
      <alignment vertical="center" wrapText="1"/>
    </xf>
    <xf numFmtId="0" fontId="0" fillId="0" borderId="70" xfId="0" applyFont="1" applyBorder="1" applyAlignment="1">
      <alignment vertical="center" wrapText="1"/>
    </xf>
    <xf numFmtId="0" fontId="0" fillId="0" borderId="55" xfId="0" applyFont="1" applyBorder="1" applyAlignment="1">
      <alignment vertical="center" wrapText="1"/>
    </xf>
    <xf numFmtId="0" fontId="0" fillId="0" borderId="68" xfId="0" applyFont="1" applyBorder="1" applyAlignment="1">
      <alignment vertical="center" wrapText="1"/>
    </xf>
    <xf numFmtId="0" fontId="10" fillId="0" borderId="71" xfId="0" applyFont="1" applyBorder="1" applyAlignment="1">
      <alignment vertical="center" wrapText="1"/>
    </xf>
    <xf numFmtId="0" fontId="10" fillId="0" borderId="45" xfId="0" applyFont="1" applyBorder="1" applyAlignment="1">
      <alignment vertical="center" wrapText="1"/>
    </xf>
    <xf numFmtId="0" fontId="10" fillId="0" borderId="48" xfId="0" applyFont="1" applyBorder="1" applyAlignment="1">
      <alignment vertical="center" wrapText="1"/>
    </xf>
    <xf numFmtId="0" fontId="10" fillId="0" borderId="17" xfId="0" applyFont="1" applyBorder="1" applyAlignment="1">
      <alignment vertical="center" wrapText="1"/>
    </xf>
    <xf numFmtId="0" fontId="3" fillId="0" borderId="101" xfId="0" applyFont="1" applyFill="1" applyBorder="1" applyAlignment="1">
      <alignment vertical="center"/>
    </xf>
    <xf numFmtId="0" fontId="3" fillId="0" borderId="101" xfId="0" applyFont="1" applyBorder="1" applyAlignment="1">
      <alignment vertical="center"/>
    </xf>
    <xf numFmtId="0" fontId="0" fillId="0" borderId="102" xfId="0" applyFont="1" applyBorder="1" applyAlignment="1">
      <alignment vertical="center" wrapText="1"/>
    </xf>
    <xf numFmtId="0" fontId="0" fillId="0" borderId="91" xfId="0" applyFont="1" applyBorder="1" applyAlignment="1">
      <alignment vertical="center" wrapText="1"/>
    </xf>
    <xf numFmtId="0" fontId="10" fillId="0" borderId="103" xfId="0" applyFont="1" applyBorder="1" applyAlignment="1">
      <alignment vertical="center" wrapText="1"/>
    </xf>
    <xf numFmtId="0" fontId="0" fillId="0" borderId="45" xfId="0" applyFont="1" applyBorder="1" applyAlignment="1">
      <alignment vertical="center" wrapText="1"/>
    </xf>
    <xf numFmtId="0" fontId="0" fillId="0" borderId="48" xfId="0" applyFont="1" applyBorder="1" applyAlignment="1">
      <alignment vertical="center" wrapText="1"/>
    </xf>
    <xf numFmtId="203" fontId="0" fillId="0" borderId="10" xfId="0" applyNumberFormat="1" applyFont="1" applyFill="1" applyBorder="1" applyAlignment="1" applyProtection="1">
      <alignment vertical="top"/>
      <protection/>
    </xf>
    <xf numFmtId="203" fontId="0" fillId="0" borderId="21" xfId="0" applyNumberFormat="1" applyBorder="1" applyAlignment="1" applyProtection="1">
      <alignment vertical="top"/>
      <protection/>
    </xf>
    <xf numFmtId="203" fontId="0" fillId="0" borderId="10" xfId="0" applyNumberFormat="1" applyFont="1" applyBorder="1" applyAlignment="1" applyProtection="1">
      <alignment vertical="top"/>
      <protection/>
    </xf>
    <xf numFmtId="190" fontId="13" fillId="0" borderId="32" xfId="0" applyNumberFormat="1" applyFont="1" applyFill="1" applyBorder="1" applyAlignment="1" applyProtection="1">
      <alignment horizontal="center" vertical="top" shrinkToFit="1"/>
      <protection/>
    </xf>
    <xf numFmtId="0" fontId="0" fillId="0" borderId="33" xfId="0" applyBorder="1" applyAlignment="1" applyProtection="1">
      <alignment horizontal="center" vertical="top" shrinkToFit="1"/>
      <protection/>
    </xf>
    <xf numFmtId="0" fontId="0" fillId="0" borderId="34" xfId="0" applyBorder="1" applyAlignment="1" applyProtection="1">
      <alignment horizontal="center" vertical="top" shrinkToFit="1"/>
      <protection/>
    </xf>
    <xf numFmtId="0" fontId="0" fillId="0" borderId="10" xfId="0" applyFont="1" applyBorder="1" applyAlignment="1" applyProtection="1">
      <alignment vertical="top"/>
      <protection/>
    </xf>
    <xf numFmtId="0" fontId="0" fillId="0" borderId="22" xfId="0" applyFont="1" applyBorder="1" applyAlignment="1" applyProtection="1">
      <alignment vertical="top"/>
      <protection/>
    </xf>
    <xf numFmtId="0" fontId="0" fillId="0" borderId="21" xfId="0" applyFont="1" applyBorder="1" applyAlignment="1" applyProtection="1">
      <alignment vertical="top"/>
      <protection/>
    </xf>
    <xf numFmtId="190" fontId="0" fillId="0" borderId="10" xfId="0" applyNumberFormat="1" applyFont="1" applyBorder="1" applyAlignment="1" applyProtection="1">
      <alignment horizontal="center" vertical="top"/>
      <protection/>
    </xf>
    <xf numFmtId="0" fontId="0" fillId="0" borderId="1" xfId="0" applyFont="1" applyBorder="1" applyAlignment="1" applyProtection="1">
      <alignment horizontal="center" vertical="top"/>
      <protection/>
    </xf>
    <xf numFmtId="0" fontId="0" fillId="0" borderId="10"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190" fontId="0" fillId="0" borderId="22" xfId="0" applyNumberFormat="1" applyFont="1" applyBorder="1" applyAlignment="1" applyProtection="1">
      <alignment horizontal="center" vertical="top"/>
      <protection/>
    </xf>
    <xf numFmtId="190" fontId="0" fillId="0" borderId="21" xfId="0" applyNumberFormat="1" applyFont="1" applyBorder="1" applyAlignment="1" applyProtection="1">
      <alignment horizontal="center" vertical="top"/>
      <protection/>
    </xf>
    <xf numFmtId="0" fontId="0" fillId="0" borderId="10" xfId="0" applyFont="1" applyBorder="1" applyAlignment="1" applyProtection="1">
      <alignment horizontal="center" vertical="top"/>
      <protection/>
    </xf>
    <xf numFmtId="0" fontId="0" fillId="0" borderId="21" xfId="0" applyBorder="1" applyAlignment="1" applyProtection="1">
      <alignment horizontal="center"/>
      <protection/>
    </xf>
    <xf numFmtId="0" fontId="13" fillId="0" borderId="32" xfId="0" applyFont="1" applyFill="1"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21" xfId="0" applyFont="1" applyBorder="1" applyAlignment="1" applyProtection="1">
      <alignment horizontal="center"/>
      <protection/>
    </xf>
    <xf numFmtId="202" fontId="0" fillId="0" borderId="10" xfId="0" applyNumberFormat="1" applyFont="1" applyFill="1" applyBorder="1" applyAlignment="1" applyProtection="1">
      <alignment vertical="top"/>
      <protection/>
    </xf>
    <xf numFmtId="202" fontId="0" fillId="0" borderId="21" xfId="0" applyNumberFormat="1" applyBorder="1" applyAlignment="1" applyProtection="1">
      <alignment vertical="top"/>
      <protection/>
    </xf>
    <xf numFmtId="202" fontId="0" fillId="0" borderId="10" xfId="0" applyNumberFormat="1" applyFont="1" applyBorder="1" applyAlignment="1" applyProtection="1">
      <alignment vertical="top"/>
      <protection/>
    </xf>
    <xf numFmtId="0" fontId="0" fillId="0" borderId="10" xfId="0" applyFont="1" applyFill="1" applyBorder="1" applyAlignment="1" applyProtection="1">
      <alignment horizontal="center" vertical="center" wrapText="1"/>
      <protection/>
    </xf>
    <xf numFmtId="0" fontId="0" fillId="0" borderId="22"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3" borderId="10" xfId="0" applyFon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10" xfId="0" applyFont="1" applyFill="1" applyBorder="1" applyAlignment="1" applyProtection="1">
      <alignment vertical="center" wrapText="1"/>
      <protection/>
    </xf>
    <xf numFmtId="0" fontId="0" fillId="0" borderId="22" xfId="0" applyFont="1" applyFill="1" applyBorder="1" applyAlignment="1" applyProtection="1">
      <alignment vertical="center" wrapText="1"/>
      <protection/>
    </xf>
    <xf numFmtId="0" fontId="0" fillId="0" borderId="18" xfId="0" applyFont="1"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1" xfId="0" applyFont="1" applyFill="1" applyBorder="1" applyAlignment="1" applyProtection="1">
      <alignment vertical="center" wrapText="1"/>
      <protection/>
    </xf>
    <xf numFmtId="0" fontId="0" fillId="0" borderId="1" xfId="0" applyFont="1" applyFill="1" applyBorder="1" applyAlignment="1" applyProtection="1">
      <alignment vertical="center" wrapText="1"/>
      <protection locked="0"/>
    </xf>
    <xf numFmtId="0" fontId="0" fillId="3" borderId="22" xfId="0" applyFont="1" applyFill="1" applyBorder="1" applyAlignment="1" applyProtection="1">
      <alignment vertical="center" wrapText="1"/>
      <protection locked="0"/>
    </xf>
    <xf numFmtId="0" fontId="0" fillId="3" borderId="21"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0" fontId="0" fillId="0" borderId="1" xfId="0" applyFont="1" applyBorder="1" applyAlignment="1">
      <alignment vertical="center"/>
    </xf>
    <xf numFmtId="0" fontId="0" fillId="0" borderId="1" xfId="0" applyBorder="1" applyAlignment="1">
      <alignment/>
    </xf>
    <xf numFmtId="205" fontId="0" fillId="0" borderId="10" xfId="0" applyNumberFormat="1" applyBorder="1" applyAlignment="1">
      <alignment vertical="center"/>
    </xf>
    <xf numFmtId="205" fontId="0" fillId="0" borderId="22" xfId="0" applyNumberFormat="1" applyBorder="1" applyAlignment="1">
      <alignment vertical="center"/>
    </xf>
    <xf numFmtId="205" fontId="0" fillId="3" borderId="10" xfId="0" applyNumberFormat="1" applyFont="1" applyFill="1" applyBorder="1" applyAlignment="1" applyProtection="1">
      <alignment horizontal="right" vertical="center"/>
      <protection locked="0"/>
    </xf>
    <xf numFmtId="205" fontId="0" fillId="3" borderId="22" xfId="0" applyNumberFormat="1" applyFill="1" applyBorder="1" applyAlignment="1" applyProtection="1">
      <alignment horizontal="right" vertical="center"/>
      <protection locked="0"/>
    </xf>
    <xf numFmtId="0" fontId="0" fillId="0" borderId="4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9" xfId="0" applyFont="1" applyBorder="1" applyAlignment="1" applyProtection="1">
      <alignment horizontal="center" vertical="center"/>
      <protection/>
    </xf>
    <xf numFmtId="0" fontId="0" fillId="0" borderId="53" xfId="0" applyBorder="1" applyAlignment="1">
      <alignment horizontal="center" vertical="center"/>
    </xf>
    <xf numFmtId="0" fontId="0" fillId="0" borderId="21" xfId="0" applyFill="1" applyBorder="1" applyAlignment="1" applyProtection="1">
      <alignment vertical="center" wrapText="1"/>
      <protection/>
    </xf>
    <xf numFmtId="0" fontId="4" fillId="0" borderId="0" xfId="0" applyFont="1" applyAlignment="1">
      <alignment/>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Sheet1" xfId="21"/>
    <cellStyle name="標準_yoshiki4" xfId="22"/>
    <cellStyle name="標準_計画書様式(窪田作業中)"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16</xdr:row>
      <xdr:rowOff>104775</xdr:rowOff>
    </xdr:from>
    <xdr:to>
      <xdr:col>7</xdr:col>
      <xdr:colOff>542925</xdr:colOff>
      <xdr:row>36</xdr:row>
      <xdr:rowOff>142875</xdr:rowOff>
    </xdr:to>
    <xdr:sp>
      <xdr:nvSpPr>
        <xdr:cNvPr id="1" name="TextBox 1"/>
        <xdr:cNvSpPr txBox="1">
          <a:spLocks noChangeArrowheads="1"/>
        </xdr:cNvSpPr>
      </xdr:nvSpPr>
      <xdr:spPr>
        <a:xfrm>
          <a:off x="238125" y="3714750"/>
          <a:ext cx="304800" cy="4438650"/>
        </a:xfrm>
        <a:prstGeom prst="rect">
          <a:avLst/>
        </a:prstGeom>
        <a:noFill/>
        <a:ln w="9525" cmpd="sng">
          <a:noFill/>
        </a:ln>
      </xdr:spPr>
      <xdr:txBody>
        <a:bodyPr vertOverflow="clip" wrap="square" vert="wordArtVertRtl"/>
        <a:p>
          <a:pPr algn="ctr">
            <a:defRPr/>
          </a:pPr>
          <a:r>
            <a:rPr lang="en-US" cap="none" sz="1600" b="0" i="0" u="none" baseline="0">
              <a:latin typeface="ＭＳ Ｐゴシック"/>
              <a:ea typeface="ＭＳ Ｐゴシック"/>
              <a:cs typeface="ＭＳ Ｐゴシック"/>
            </a:rPr>
            <a:t>トラック・バス</a:t>
          </a:r>
        </a:p>
      </xdr:txBody>
    </xdr:sp>
    <xdr:clientData/>
  </xdr:twoCellAnchor>
  <xdr:twoCellAnchor>
    <xdr:from>
      <xdr:col>7</xdr:col>
      <xdr:colOff>285750</xdr:colOff>
      <xdr:row>39</xdr:row>
      <xdr:rowOff>66675</xdr:rowOff>
    </xdr:from>
    <xdr:to>
      <xdr:col>8</xdr:col>
      <xdr:colOff>752475</xdr:colOff>
      <xdr:row>42</xdr:row>
      <xdr:rowOff>76200</xdr:rowOff>
    </xdr:to>
    <xdr:sp>
      <xdr:nvSpPr>
        <xdr:cNvPr id="2" name="TextBox 2"/>
        <xdr:cNvSpPr txBox="1">
          <a:spLocks noChangeArrowheads="1"/>
        </xdr:cNvSpPr>
      </xdr:nvSpPr>
      <xdr:spPr>
        <a:xfrm>
          <a:off x="285750" y="8743950"/>
          <a:ext cx="1114425" cy="666750"/>
        </a:xfrm>
        <a:prstGeom prst="rect">
          <a:avLst/>
        </a:prstGeom>
        <a:noFill/>
        <a:ln w="9525" cmpd="sng">
          <a:noFill/>
        </a:ln>
      </xdr:spPr>
      <xdr:txBody>
        <a:bodyPr vertOverflow="clip" wrap="square"/>
        <a:p>
          <a:pPr algn="l">
            <a:defRPr/>
          </a:pPr>
          <a:r>
            <a:rPr lang="en-US" cap="none" sz="1600" b="0" i="0" u="none" baseline="0">
              <a:latin typeface="ＭＳ Ｐゴシック"/>
              <a:ea typeface="ＭＳ Ｐゴシック"/>
              <a:cs typeface="ＭＳ Ｐゴシック"/>
            </a:rPr>
            <a:t>乗用車</a:t>
          </a:r>
        </a:p>
      </xdr:txBody>
    </xdr:sp>
    <xdr:clientData/>
  </xdr:twoCellAnchor>
  <xdr:twoCellAnchor>
    <xdr:from>
      <xdr:col>14</xdr:col>
      <xdr:colOff>200025</xdr:colOff>
      <xdr:row>10</xdr:row>
      <xdr:rowOff>38100</xdr:rowOff>
    </xdr:from>
    <xdr:to>
      <xdr:col>14</xdr:col>
      <xdr:colOff>504825</xdr:colOff>
      <xdr:row>26</xdr:row>
      <xdr:rowOff>85725</xdr:rowOff>
    </xdr:to>
    <xdr:sp>
      <xdr:nvSpPr>
        <xdr:cNvPr id="3" name="TextBox 3"/>
        <xdr:cNvSpPr txBox="1">
          <a:spLocks noChangeArrowheads="1"/>
        </xdr:cNvSpPr>
      </xdr:nvSpPr>
      <xdr:spPr>
        <a:xfrm>
          <a:off x="6000750" y="2333625"/>
          <a:ext cx="304800" cy="3552825"/>
        </a:xfrm>
        <a:prstGeom prst="rect">
          <a:avLst/>
        </a:prstGeom>
        <a:noFill/>
        <a:ln w="9525" cmpd="sng">
          <a:noFill/>
        </a:ln>
      </xdr:spPr>
      <xdr:txBody>
        <a:bodyPr vertOverflow="clip" wrap="square" vert="wordArtVertRtl"/>
        <a:p>
          <a:pPr algn="ctr">
            <a:defRPr/>
          </a:pPr>
          <a:r>
            <a:rPr lang="en-US" cap="none" sz="1600" b="0" i="0" u="none" baseline="0">
              <a:latin typeface="ＭＳ Ｐゴシック"/>
              <a:ea typeface="ＭＳ Ｐゴシック"/>
              <a:cs typeface="ＭＳ Ｐゴシック"/>
            </a:rPr>
            <a:t>トラック・バス</a:t>
          </a:r>
        </a:p>
      </xdr:txBody>
    </xdr:sp>
    <xdr:clientData/>
  </xdr:twoCellAnchor>
  <xdr:twoCellAnchor>
    <xdr:from>
      <xdr:col>14</xdr:col>
      <xdr:colOff>342900</xdr:colOff>
      <xdr:row>33</xdr:row>
      <xdr:rowOff>114300</xdr:rowOff>
    </xdr:from>
    <xdr:to>
      <xdr:col>15</xdr:col>
      <xdr:colOff>809625</xdr:colOff>
      <xdr:row>37</xdr:row>
      <xdr:rowOff>200025</xdr:rowOff>
    </xdr:to>
    <xdr:sp>
      <xdr:nvSpPr>
        <xdr:cNvPr id="4" name="TextBox 4"/>
        <xdr:cNvSpPr txBox="1">
          <a:spLocks noChangeArrowheads="1"/>
        </xdr:cNvSpPr>
      </xdr:nvSpPr>
      <xdr:spPr>
        <a:xfrm>
          <a:off x="6143625" y="7458075"/>
          <a:ext cx="1104900" cy="971550"/>
        </a:xfrm>
        <a:prstGeom prst="rect">
          <a:avLst/>
        </a:prstGeom>
        <a:noFill/>
        <a:ln w="9525" cmpd="sng">
          <a:noFill/>
        </a:ln>
      </xdr:spPr>
      <xdr:txBody>
        <a:bodyPr vertOverflow="clip" wrap="square"/>
        <a:p>
          <a:pPr algn="l">
            <a:defRPr/>
          </a:pPr>
          <a:r>
            <a:rPr lang="en-US" cap="none" sz="1600" b="0" i="0" u="none" baseline="0">
              <a:latin typeface="ＭＳ Ｐゴシック"/>
              <a:ea typeface="ＭＳ Ｐゴシック"/>
              <a:cs typeface="ＭＳ Ｐゴシック"/>
            </a:rPr>
            <a:t>乗用車</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keisan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21407;&#31295;\&#35336;&#30011;&#26360;&#27096;&#24335;(&#21360;&#21047;&#21407;&#3129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35352;&#20837;&#35201;&#38936;&#12398;&#12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導入割合計算シー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様式1"/>
      <sheetName val="様式2"/>
      <sheetName val="様式3"/>
      <sheetName val="様式4"/>
      <sheetName val="様式5"/>
      <sheetName val="様式6"/>
      <sheetName val="様式7"/>
      <sheetName val="様式8"/>
      <sheetName val="8"/>
      <sheetName val="12"/>
      <sheetName val="2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要領(1)"/>
      <sheetName val="記入要領(2)"/>
      <sheetName val="記入要領(3)"/>
      <sheetName val="記入要領(4)"/>
      <sheetName val="記入要領(5)"/>
      <sheetName val="記入要領(6)"/>
      <sheetName val="記入要領(7)"/>
      <sheetName val="記入要領(計算2)"/>
      <sheetName val="記入要領(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32"/>
  <sheetViews>
    <sheetView tabSelected="1" workbookViewId="0" topLeftCell="A1">
      <selection activeCell="D3" sqref="D3"/>
    </sheetView>
  </sheetViews>
  <sheetFormatPr defaultColWidth="9.00390625" defaultRowHeight="13.5"/>
  <cols>
    <col min="1" max="1" width="23.625" style="6" customWidth="1"/>
    <col min="2" max="2" width="16.375" style="6" customWidth="1"/>
    <col min="3" max="3" width="5.875" style="6" customWidth="1"/>
    <col min="4" max="4" width="36.50390625" style="6" customWidth="1"/>
    <col min="5" max="5" width="4.50390625" style="6" customWidth="1"/>
    <col min="6" max="6" width="18.00390625" style="6" customWidth="1"/>
    <col min="7" max="9" width="10.625" style="6" customWidth="1"/>
    <col min="10" max="16384" width="9.00390625" style="6" customWidth="1"/>
  </cols>
  <sheetData>
    <row r="3" spans="2:5" ht="14.25">
      <c r="B3" s="241"/>
      <c r="C3" s="241"/>
      <c r="D3" s="241" t="s">
        <v>779</v>
      </c>
      <c r="E3" s="7"/>
    </row>
    <row r="4" ht="50.25" customHeight="1"/>
    <row r="5" spans="1:4" ht="22.5" customHeight="1">
      <c r="A5" s="7" t="s">
        <v>836</v>
      </c>
      <c r="B5" s="7"/>
      <c r="C5" s="7"/>
      <c r="D5" s="7"/>
    </row>
    <row r="6" spans="1:4" ht="22.5" customHeight="1">
      <c r="A6" s="7"/>
      <c r="B6" s="7"/>
      <c r="C6" s="7"/>
      <c r="D6" s="7"/>
    </row>
    <row r="7" spans="1:4" ht="22.5" customHeight="1">
      <c r="A7" s="7"/>
      <c r="B7" s="7"/>
      <c r="C7" s="7"/>
      <c r="D7" s="7"/>
    </row>
    <row r="8" ht="23.25" customHeight="1"/>
    <row r="9" spans="1:12" ht="58.5" customHeight="1">
      <c r="A9" s="243" t="s">
        <v>638</v>
      </c>
      <c r="B9" s="243"/>
      <c r="C9" s="262"/>
      <c r="D9" s="244" t="s">
        <v>637</v>
      </c>
      <c r="E9" s="244" t="s">
        <v>639</v>
      </c>
      <c r="F9" s="8"/>
      <c r="G9" s="8"/>
      <c r="H9" s="8"/>
      <c r="I9" s="8"/>
      <c r="J9" s="8"/>
      <c r="K9" s="8"/>
      <c r="L9" s="8"/>
    </row>
    <row r="10" spans="1:6" ht="19.5" customHeight="1">
      <c r="A10" s="243"/>
      <c r="B10" s="243"/>
      <c r="D10" s="242"/>
      <c r="E10" s="242"/>
      <c r="F10" s="242"/>
    </row>
    <row r="11" spans="2:6" ht="158.25" customHeight="1">
      <c r="B11" s="245"/>
      <c r="C11" s="245" t="s">
        <v>919</v>
      </c>
      <c r="D11" s="245"/>
      <c r="E11" s="245"/>
      <c r="F11" s="245"/>
    </row>
    <row r="12" spans="1:6" ht="60" customHeight="1">
      <c r="A12" s="407" t="s">
        <v>460</v>
      </c>
      <c r="B12" s="407"/>
      <c r="C12" s="407"/>
      <c r="D12" s="407"/>
      <c r="E12" s="7"/>
      <c r="F12" s="7"/>
    </row>
    <row r="25" ht="14.25">
      <c r="D25" s="6" t="s">
        <v>916</v>
      </c>
    </row>
    <row r="29" spans="1:6" ht="14.25">
      <c r="A29" s="246"/>
      <c r="B29" s="247"/>
      <c r="C29" s="248"/>
      <c r="D29" s="249"/>
      <c r="E29" s="250"/>
      <c r="F29" s="250"/>
    </row>
    <row r="30" spans="1:6" ht="14.25">
      <c r="A30" s="251" t="s">
        <v>458</v>
      </c>
      <c r="B30" s="252"/>
      <c r="C30" s="250"/>
      <c r="D30" s="253"/>
      <c r="E30" s="250"/>
      <c r="F30" s="250"/>
    </row>
    <row r="31" spans="1:6" ht="14.25">
      <c r="A31" s="254"/>
      <c r="B31" s="255"/>
      <c r="C31" s="256"/>
      <c r="D31" s="257"/>
      <c r="E31" s="250"/>
      <c r="F31" s="250"/>
    </row>
    <row r="32" ht="14.25">
      <c r="A32" s="6" t="s">
        <v>459</v>
      </c>
    </row>
  </sheetData>
  <sheetProtection sheet="1" objects="1" scenarios="1"/>
  <mergeCells count="1">
    <mergeCell ref="A12:D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&amp;R様式１</oddHeader>
  </headerFooter>
</worksheet>
</file>

<file path=xl/worksheets/sheet10.xml><?xml version="1.0" encoding="utf-8"?>
<worksheet xmlns="http://schemas.openxmlformats.org/spreadsheetml/2006/main" xmlns:r="http://schemas.openxmlformats.org/officeDocument/2006/relationships">
  <dimension ref="B1:K98"/>
  <sheetViews>
    <sheetView workbookViewId="0" topLeftCell="G1">
      <selection activeCell="N9" sqref="N9"/>
    </sheetView>
  </sheetViews>
  <sheetFormatPr defaultColWidth="9.00390625" defaultRowHeight="13.5"/>
  <cols>
    <col min="1" max="1" width="0" style="0" hidden="1" customWidth="1"/>
    <col min="2" max="2" width="3.50390625" style="0" hidden="1" customWidth="1"/>
    <col min="3" max="3" width="2.50390625" style="0" hidden="1" customWidth="1"/>
    <col min="4" max="4" width="2.75390625" style="0" hidden="1" customWidth="1"/>
    <col min="5" max="5" width="5.625" style="0" hidden="1" customWidth="1"/>
    <col min="6" max="6" width="1.625" style="0" hidden="1" customWidth="1"/>
    <col min="7" max="7" width="4.375" style="0" customWidth="1"/>
    <col min="8" max="8" width="33.50390625" style="0" customWidth="1"/>
    <col min="9" max="9" width="2.50390625" style="0" customWidth="1"/>
    <col min="10" max="10" width="4.375" style="0" customWidth="1"/>
    <col min="11" max="11" width="40.25390625" style="0" customWidth="1"/>
  </cols>
  <sheetData>
    <row r="1" spans="2:11" ht="19.5" thickBot="1">
      <c r="B1" s="11" t="s">
        <v>440</v>
      </c>
      <c r="C1" s="11" t="s">
        <v>441</v>
      </c>
      <c r="D1" s="11" t="s">
        <v>333</v>
      </c>
      <c r="E1" s="11" t="s">
        <v>324</v>
      </c>
      <c r="F1" s="235" t="s">
        <v>318</v>
      </c>
      <c r="G1" s="580" t="s">
        <v>659</v>
      </c>
      <c r="H1" s="580"/>
      <c r="I1" s="580"/>
      <c r="J1" s="580"/>
      <c r="K1" s="580"/>
    </row>
    <row r="2" spans="2:11" s="1" customFormat="1" ht="14.25" thickBot="1">
      <c r="B2" s="11" t="s">
        <v>440</v>
      </c>
      <c r="C2" s="11" t="s">
        <v>441</v>
      </c>
      <c r="D2" s="11" t="s">
        <v>333</v>
      </c>
      <c r="E2" s="11" t="s">
        <v>441</v>
      </c>
      <c r="F2" s="1" t="s">
        <v>52</v>
      </c>
      <c r="G2" s="358" t="s">
        <v>169</v>
      </c>
      <c r="H2" s="359" t="s">
        <v>170</v>
      </c>
      <c r="J2" s="358" t="s">
        <v>169</v>
      </c>
      <c r="K2" s="359" t="s">
        <v>170</v>
      </c>
    </row>
    <row r="3" spans="2:11" s="1" customFormat="1" ht="12">
      <c r="B3" s="46" t="s">
        <v>822</v>
      </c>
      <c r="C3" s="46">
        <v>28101</v>
      </c>
      <c r="D3" s="46" t="s">
        <v>828</v>
      </c>
      <c r="E3" s="46">
        <v>28206</v>
      </c>
      <c r="F3" s="1" t="s">
        <v>53</v>
      </c>
      <c r="G3" s="360">
        <v>1</v>
      </c>
      <c r="H3" s="361" t="s">
        <v>171</v>
      </c>
      <c r="J3" s="360">
        <v>50</v>
      </c>
      <c r="K3" s="361" t="s">
        <v>172</v>
      </c>
    </row>
    <row r="4" spans="2:11" s="1" customFormat="1" ht="12">
      <c r="B4" s="46" t="s">
        <v>823</v>
      </c>
      <c r="C4" s="46">
        <v>28102</v>
      </c>
      <c r="D4" s="46" t="s">
        <v>829</v>
      </c>
      <c r="E4" s="46">
        <v>28207</v>
      </c>
      <c r="F4" s="1" t="s">
        <v>54</v>
      </c>
      <c r="G4" s="362">
        <v>2</v>
      </c>
      <c r="H4" s="363" t="s">
        <v>173</v>
      </c>
      <c r="J4" s="362">
        <v>51</v>
      </c>
      <c r="K4" s="363" t="s">
        <v>174</v>
      </c>
    </row>
    <row r="5" spans="2:11" s="1" customFormat="1" ht="12">
      <c r="B5" s="46" t="s">
        <v>818</v>
      </c>
      <c r="C5" s="46">
        <v>28105</v>
      </c>
      <c r="D5" s="46" t="s">
        <v>837</v>
      </c>
      <c r="E5" s="46">
        <v>28381</v>
      </c>
      <c r="F5" s="1" t="s">
        <v>55</v>
      </c>
      <c r="G5" s="362">
        <v>3</v>
      </c>
      <c r="H5" s="363" t="s">
        <v>175</v>
      </c>
      <c r="J5" s="362">
        <v>52</v>
      </c>
      <c r="K5" s="363" t="s">
        <v>660</v>
      </c>
    </row>
    <row r="6" spans="2:11" s="1" customFormat="1" ht="12">
      <c r="B6" s="46" t="s">
        <v>819</v>
      </c>
      <c r="C6" s="46">
        <v>28106</v>
      </c>
      <c r="D6" s="46" t="s">
        <v>834</v>
      </c>
      <c r="E6" s="46">
        <v>28382</v>
      </c>
      <c r="F6" s="1" t="s">
        <v>56</v>
      </c>
      <c r="G6" s="362">
        <v>4</v>
      </c>
      <c r="H6" s="363" t="s">
        <v>176</v>
      </c>
      <c r="J6" s="362">
        <v>53</v>
      </c>
      <c r="K6" s="363" t="s">
        <v>177</v>
      </c>
    </row>
    <row r="7" spans="2:11" s="1" customFormat="1" ht="12">
      <c r="B7" s="46" t="s">
        <v>820</v>
      </c>
      <c r="C7" s="46">
        <v>28107</v>
      </c>
      <c r="D7" s="46" t="s">
        <v>830</v>
      </c>
      <c r="E7" s="46">
        <v>28210</v>
      </c>
      <c r="F7" s="1" t="s">
        <v>57</v>
      </c>
      <c r="G7" s="362">
        <v>5</v>
      </c>
      <c r="H7" s="363" t="s">
        <v>178</v>
      </c>
      <c r="J7" s="362">
        <v>54</v>
      </c>
      <c r="K7" s="363" t="s">
        <v>179</v>
      </c>
    </row>
    <row r="8" spans="2:11" s="1" customFormat="1" ht="12">
      <c r="B8" s="46" t="s">
        <v>821</v>
      </c>
      <c r="C8" s="46">
        <v>28108</v>
      </c>
      <c r="D8" s="46" t="s">
        <v>838</v>
      </c>
      <c r="E8" s="46">
        <v>28220</v>
      </c>
      <c r="F8" s="1" t="s">
        <v>58</v>
      </c>
      <c r="G8" s="362">
        <v>6</v>
      </c>
      <c r="H8" s="363" t="s">
        <v>180</v>
      </c>
      <c r="J8" s="362">
        <v>55</v>
      </c>
      <c r="K8" s="363" t="s">
        <v>181</v>
      </c>
    </row>
    <row r="9" spans="2:11" s="1" customFormat="1" ht="12">
      <c r="B9" s="46" t="s">
        <v>839</v>
      </c>
      <c r="C9" s="46">
        <v>28109</v>
      </c>
      <c r="D9" s="46" t="s">
        <v>840</v>
      </c>
      <c r="E9" s="46">
        <v>28341</v>
      </c>
      <c r="F9" s="1" t="s">
        <v>59</v>
      </c>
      <c r="G9" s="362">
        <v>7</v>
      </c>
      <c r="H9" s="363" t="s">
        <v>661</v>
      </c>
      <c r="J9" s="362">
        <v>56</v>
      </c>
      <c r="K9" s="363" t="s">
        <v>182</v>
      </c>
    </row>
    <row r="10" spans="2:11" s="1" customFormat="1" ht="12">
      <c r="B10" s="46" t="s">
        <v>824</v>
      </c>
      <c r="C10" s="46">
        <v>28110</v>
      </c>
      <c r="D10" s="46" t="s">
        <v>841</v>
      </c>
      <c r="E10" s="46">
        <v>28342</v>
      </c>
      <c r="F10" s="1" t="s">
        <v>60</v>
      </c>
      <c r="G10" s="362">
        <v>8</v>
      </c>
      <c r="H10" s="363" t="s">
        <v>183</v>
      </c>
      <c r="J10" s="362">
        <v>57</v>
      </c>
      <c r="K10" s="363" t="s">
        <v>184</v>
      </c>
    </row>
    <row r="11" spans="2:11" s="1" customFormat="1" ht="12">
      <c r="B11" s="46" t="s">
        <v>825</v>
      </c>
      <c r="C11" s="46">
        <v>28111</v>
      </c>
      <c r="D11" s="46" t="s">
        <v>842</v>
      </c>
      <c r="E11" s="46">
        <v>28343</v>
      </c>
      <c r="F11" s="1" t="s">
        <v>61</v>
      </c>
      <c r="G11" s="362">
        <v>9</v>
      </c>
      <c r="H11" s="363" t="s">
        <v>185</v>
      </c>
      <c r="J11" s="362">
        <v>58</v>
      </c>
      <c r="K11" s="363" t="s">
        <v>186</v>
      </c>
    </row>
    <row r="12" spans="2:11" s="1" customFormat="1" ht="12">
      <c r="B12" s="46" t="s">
        <v>826</v>
      </c>
      <c r="C12" s="46">
        <v>28201</v>
      </c>
      <c r="D12" s="46" t="s">
        <v>832</v>
      </c>
      <c r="E12" s="46">
        <v>28216</v>
      </c>
      <c r="F12" s="1" t="s">
        <v>62</v>
      </c>
      <c r="G12" s="362">
        <v>10</v>
      </c>
      <c r="H12" s="363" t="s">
        <v>675</v>
      </c>
      <c r="J12" s="362">
        <v>59</v>
      </c>
      <c r="K12" s="363" t="s">
        <v>187</v>
      </c>
    </row>
    <row r="13" spans="2:11" s="1" customFormat="1" ht="13.5">
      <c r="B13" s="46" t="s">
        <v>827</v>
      </c>
      <c r="C13" s="46">
        <v>28202</v>
      </c>
      <c r="D13" s="4" t="s">
        <v>843</v>
      </c>
      <c r="E13" s="4">
        <v>28501</v>
      </c>
      <c r="F13" s="1" t="s">
        <v>63</v>
      </c>
      <c r="G13" s="362">
        <v>11</v>
      </c>
      <c r="H13" s="363" t="s">
        <v>662</v>
      </c>
      <c r="J13" s="362">
        <v>60</v>
      </c>
      <c r="K13" s="363" t="s">
        <v>188</v>
      </c>
    </row>
    <row r="14" spans="2:11" s="1" customFormat="1" ht="13.5">
      <c r="B14" s="46" t="s">
        <v>844</v>
      </c>
      <c r="C14" s="46">
        <v>28203</v>
      </c>
      <c r="D14" s="4" t="s">
        <v>845</v>
      </c>
      <c r="E14" s="4">
        <v>28504</v>
      </c>
      <c r="F14" s="1" t="s">
        <v>64</v>
      </c>
      <c r="G14" s="362">
        <v>12</v>
      </c>
      <c r="H14" s="363" t="s">
        <v>663</v>
      </c>
      <c r="J14" s="362">
        <v>61</v>
      </c>
      <c r="K14" s="363" t="s">
        <v>189</v>
      </c>
    </row>
    <row r="15" spans="2:11" s="1" customFormat="1" ht="13.5">
      <c r="B15" s="46" t="s">
        <v>846</v>
      </c>
      <c r="C15" s="46">
        <v>28204</v>
      </c>
      <c r="D15" s="4" t="s">
        <v>847</v>
      </c>
      <c r="E15" s="4">
        <v>28502</v>
      </c>
      <c r="F15" s="1" t="s">
        <v>65</v>
      </c>
      <c r="G15" s="362">
        <v>13</v>
      </c>
      <c r="H15" s="363" t="s">
        <v>664</v>
      </c>
      <c r="J15" s="362">
        <v>62</v>
      </c>
      <c r="K15" s="363" t="s">
        <v>190</v>
      </c>
    </row>
    <row r="16" spans="2:11" s="1" customFormat="1" ht="13.5">
      <c r="B16" s="46" t="s">
        <v>848</v>
      </c>
      <c r="C16" s="46">
        <v>28205</v>
      </c>
      <c r="D16" s="4" t="s">
        <v>849</v>
      </c>
      <c r="E16" s="4">
        <v>28503</v>
      </c>
      <c r="F16" s="1" t="s">
        <v>66</v>
      </c>
      <c r="G16" s="362">
        <v>14</v>
      </c>
      <c r="H16" s="363" t="s">
        <v>191</v>
      </c>
      <c r="J16" s="362">
        <v>63</v>
      </c>
      <c r="K16" s="363" t="s">
        <v>665</v>
      </c>
    </row>
    <row r="17" spans="2:11" s="1" customFormat="1" ht="13.5" customHeight="1">
      <c r="B17" s="46" t="s">
        <v>828</v>
      </c>
      <c r="C17" s="46">
        <v>28206</v>
      </c>
      <c r="D17" s="46" t="s">
        <v>850</v>
      </c>
      <c r="E17" s="4">
        <v>28703</v>
      </c>
      <c r="F17" s="1" t="s">
        <v>67</v>
      </c>
      <c r="G17" s="362">
        <v>15</v>
      </c>
      <c r="H17" s="363" t="s">
        <v>666</v>
      </c>
      <c r="J17" s="362">
        <v>64</v>
      </c>
      <c r="K17" s="363" t="s">
        <v>192</v>
      </c>
    </row>
    <row r="18" spans="2:11" s="1" customFormat="1" ht="13.5">
      <c r="B18" s="46" t="s">
        <v>829</v>
      </c>
      <c r="C18" s="46">
        <v>28207</v>
      </c>
      <c r="D18" s="46" t="s">
        <v>851</v>
      </c>
      <c r="E18" s="4">
        <v>28702</v>
      </c>
      <c r="F18" s="1" t="s">
        <v>68</v>
      </c>
      <c r="G18" s="362">
        <v>16</v>
      </c>
      <c r="H18" s="363" t="s">
        <v>193</v>
      </c>
      <c r="J18" s="362">
        <v>65</v>
      </c>
      <c r="K18" s="363" t="s">
        <v>194</v>
      </c>
    </row>
    <row r="19" spans="2:11" s="1" customFormat="1" ht="13.5">
      <c r="B19" s="46" t="s">
        <v>852</v>
      </c>
      <c r="C19" s="46">
        <v>28208</v>
      </c>
      <c r="D19" s="46" t="s">
        <v>853</v>
      </c>
      <c r="E19" s="4">
        <v>28704</v>
      </c>
      <c r="F19" s="1" t="s">
        <v>69</v>
      </c>
      <c r="G19" s="362">
        <v>17</v>
      </c>
      <c r="H19" s="363" t="s">
        <v>195</v>
      </c>
      <c r="J19" s="362">
        <v>66</v>
      </c>
      <c r="K19" s="363" t="s">
        <v>196</v>
      </c>
    </row>
    <row r="20" spans="2:11" s="1" customFormat="1" ht="13.5">
      <c r="B20" s="46" t="s">
        <v>854</v>
      </c>
      <c r="C20" s="46">
        <v>28209</v>
      </c>
      <c r="D20" s="46" t="s">
        <v>855</v>
      </c>
      <c r="E20" s="4">
        <v>28701</v>
      </c>
      <c r="F20" s="1" t="s">
        <v>70</v>
      </c>
      <c r="G20" s="362">
        <v>18</v>
      </c>
      <c r="H20" s="363" t="s">
        <v>667</v>
      </c>
      <c r="J20" s="362">
        <v>67</v>
      </c>
      <c r="K20" s="363" t="s">
        <v>668</v>
      </c>
    </row>
    <row r="21" spans="2:11" s="1" customFormat="1" ht="12">
      <c r="B21" s="46" t="s">
        <v>830</v>
      </c>
      <c r="C21" s="46">
        <v>28210</v>
      </c>
      <c r="D21" s="46" t="s">
        <v>856</v>
      </c>
      <c r="E21" s="46">
        <v>28219</v>
      </c>
      <c r="F21" s="1" t="s">
        <v>71</v>
      </c>
      <c r="G21" s="362">
        <v>19</v>
      </c>
      <c r="H21" s="363" t="s">
        <v>669</v>
      </c>
      <c r="J21" s="362">
        <v>68</v>
      </c>
      <c r="K21" s="363" t="s">
        <v>197</v>
      </c>
    </row>
    <row r="22" spans="2:11" s="1" customFormat="1" ht="12">
      <c r="B22" s="46" t="s">
        <v>857</v>
      </c>
      <c r="C22" s="46">
        <v>28211</v>
      </c>
      <c r="D22" s="46" t="s">
        <v>858</v>
      </c>
      <c r="E22" s="46">
        <v>28215</v>
      </c>
      <c r="F22" s="1" t="s">
        <v>72</v>
      </c>
      <c r="G22" s="362">
        <v>20</v>
      </c>
      <c r="H22" s="363" t="s">
        <v>198</v>
      </c>
      <c r="J22" s="362">
        <v>69</v>
      </c>
      <c r="K22" s="363" t="s">
        <v>199</v>
      </c>
    </row>
    <row r="23" spans="2:11" s="1" customFormat="1" ht="13.5">
      <c r="B23" s="46" t="s">
        <v>859</v>
      </c>
      <c r="C23" s="46">
        <v>28212</v>
      </c>
      <c r="D23" s="4" t="s">
        <v>860</v>
      </c>
      <c r="E23" s="4">
        <v>28522</v>
      </c>
      <c r="F23" s="1" t="s">
        <v>73</v>
      </c>
      <c r="G23" s="362">
        <v>21</v>
      </c>
      <c r="H23" s="363" t="s">
        <v>670</v>
      </c>
      <c r="J23" s="362">
        <v>70</v>
      </c>
      <c r="K23" s="363" t="s">
        <v>200</v>
      </c>
    </row>
    <row r="24" spans="2:11" s="1" customFormat="1" ht="13.5">
      <c r="B24" s="46" t="s">
        <v>861</v>
      </c>
      <c r="C24" s="46">
        <v>28213</v>
      </c>
      <c r="D24" s="4" t="s">
        <v>862</v>
      </c>
      <c r="E24" s="4">
        <v>28523</v>
      </c>
      <c r="F24" s="1" t="s">
        <v>74</v>
      </c>
      <c r="G24" s="362">
        <v>22</v>
      </c>
      <c r="H24" s="363" t="s">
        <v>676</v>
      </c>
      <c r="J24" s="362">
        <v>71</v>
      </c>
      <c r="K24" s="363" t="s">
        <v>201</v>
      </c>
    </row>
    <row r="25" spans="2:11" s="1" customFormat="1" ht="13.5">
      <c r="B25" s="46" t="s">
        <v>831</v>
      </c>
      <c r="C25" s="46">
        <v>28214</v>
      </c>
      <c r="D25" s="4" t="s">
        <v>863</v>
      </c>
      <c r="E25" s="4">
        <v>28521</v>
      </c>
      <c r="F25" s="1" t="s">
        <v>75</v>
      </c>
      <c r="G25" s="362">
        <v>23</v>
      </c>
      <c r="H25" s="363" t="s">
        <v>677</v>
      </c>
      <c r="J25" s="362">
        <v>72</v>
      </c>
      <c r="K25" s="363" t="s">
        <v>202</v>
      </c>
    </row>
    <row r="26" spans="2:11" s="1" customFormat="1" ht="13.5">
      <c r="B26" s="46" t="s">
        <v>858</v>
      </c>
      <c r="C26" s="46">
        <v>28215</v>
      </c>
      <c r="D26" s="4" t="s">
        <v>864</v>
      </c>
      <c r="E26" s="4">
        <v>28525</v>
      </c>
      <c r="F26" s="1" t="s">
        <v>76</v>
      </c>
      <c r="G26" s="362">
        <v>24</v>
      </c>
      <c r="H26" s="363" t="s">
        <v>678</v>
      </c>
      <c r="J26" s="362">
        <v>73</v>
      </c>
      <c r="K26" s="363" t="s">
        <v>203</v>
      </c>
    </row>
    <row r="27" spans="2:11" s="1" customFormat="1" ht="13.5">
      <c r="B27" s="46" t="s">
        <v>832</v>
      </c>
      <c r="C27" s="46">
        <v>28216</v>
      </c>
      <c r="D27" s="4" t="s">
        <v>865</v>
      </c>
      <c r="E27" s="4">
        <v>28524</v>
      </c>
      <c r="F27" s="1" t="s">
        <v>243</v>
      </c>
      <c r="G27" s="362">
        <v>25</v>
      </c>
      <c r="H27" s="363" t="s">
        <v>679</v>
      </c>
      <c r="J27" s="362">
        <v>74</v>
      </c>
      <c r="K27" s="363" t="s">
        <v>204</v>
      </c>
    </row>
    <row r="28" spans="2:11" s="1" customFormat="1" ht="13.5">
      <c r="B28" s="46" t="s">
        <v>833</v>
      </c>
      <c r="C28" s="46">
        <v>28217</v>
      </c>
      <c r="D28" s="46" t="s">
        <v>866</v>
      </c>
      <c r="E28" s="4">
        <v>28820</v>
      </c>
      <c r="F28" s="1" t="s">
        <v>244</v>
      </c>
      <c r="G28" s="362">
        <v>26</v>
      </c>
      <c r="H28" s="363" t="s">
        <v>680</v>
      </c>
      <c r="J28" s="362">
        <v>75</v>
      </c>
      <c r="K28" s="363" t="s">
        <v>205</v>
      </c>
    </row>
    <row r="29" spans="2:11" s="1" customFormat="1" ht="12">
      <c r="B29" s="46" t="s">
        <v>867</v>
      </c>
      <c r="C29" s="46">
        <v>28218</v>
      </c>
      <c r="D29" s="46" t="s">
        <v>848</v>
      </c>
      <c r="E29" s="46">
        <v>28205</v>
      </c>
      <c r="F29" s="1" t="s">
        <v>245</v>
      </c>
      <c r="G29" s="362">
        <v>27</v>
      </c>
      <c r="H29" s="363" t="s">
        <v>681</v>
      </c>
      <c r="J29" s="362">
        <v>76</v>
      </c>
      <c r="K29" s="363" t="s">
        <v>206</v>
      </c>
    </row>
    <row r="30" spans="2:11" s="1" customFormat="1" ht="13.5">
      <c r="B30" s="46" t="s">
        <v>856</v>
      </c>
      <c r="C30" s="46">
        <v>28219</v>
      </c>
      <c r="D30" s="4" t="s">
        <v>868</v>
      </c>
      <c r="E30" s="4">
        <v>28561</v>
      </c>
      <c r="F30" s="1" t="s">
        <v>246</v>
      </c>
      <c r="G30" s="362">
        <v>28</v>
      </c>
      <c r="H30" s="363" t="s">
        <v>682</v>
      </c>
      <c r="J30" s="362">
        <v>77</v>
      </c>
      <c r="K30" s="363" t="s">
        <v>207</v>
      </c>
    </row>
    <row r="31" spans="2:11" s="1" customFormat="1" ht="13.5">
      <c r="B31" s="46" t="s">
        <v>838</v>
      </c>
      <c r="C31" s="46">
        <v>28220</v>
      </c>
      <c r="D31" s="4" t="s">
        <v>869</v>
      </c>
      <c r="E31" s="4">
        <v>28562</v>
      </c>
      <c r="F31" s="1" t="s">
        <v>247</v>
      </c>
      <c r="G31" s="362">
        <v>29</v>
      </c>
      <c r="H31" s="363" t="s">
        <v>683</v>
      </c>
      <c r="J31" s="362">
        <v>78</v>
      </c>
      <c r="K31" s="363" t="s">
        <v>208</v>
      </c>
    </row>
    <row r="32" spans="2:11" s="1" customFormat="1" ht="12">
      <c r="B32" s="46" t="s">
        <v>870</v>
      </c>
      <c r="C32" s="46">
        <v>28301</v>
      </c>
      <c r="D32" s="46" t="s">
        <v>867</v>
      </c>
      <c r="E32" s="46">
        <v>28218</v>
      </c>
      <c r="F32" s="1" t="s">
        <v>248</v>
      </c>
      <c r="G32" s="362">
        <v>30</v>
      </c>
      <c r="H32" s="363" t="s">
        <v>671</v>
      </c>
      <c r="J32" s="362">
        <v>79</v>
      </c>
      <c r="K32" s="363" t="s">
        <v>209</v>
      </c>
    </row>
    <row r="33" spans="2:11" s="1" customFormat="1" ht="13.5">
      <c r="B33" s="46" t="s">
        <v>871</v>
      </c>
      <c r="C33" s="46">
        <v>28321</v>
      </c>
      <c r="D33" s="4" t="s">
        <v>872</v>
      </c>
      <c r="E33" s="4">
        <v>28543</v>
      </c>
      <c r="F33" s="1" t="s">
        <v>249</v>
      </c>
      <c r="G33" s="362">
        <v>31</v>
      </c>
      <c r="H33" s="363" t="s">
        <v>684</v>
      </c>
      <c r="J33" s="362">
        <v>80</v>
      </c>
      <c r="K33" s="363" t="s">
        <v>210</v>
      </c>
    </row>
    <row r="34" spans="2:11" s="1" customFormat="1" ht="13.5">
      <c r="B34" s="46" t="s">
        <v>840</v>
      </c>
      <c r="C34" s="46">
        <v>28341</v>
      </c>
      <c r="D34" s="4" t="s">
        <v>873</v>
      </c>
      <c r="E34" s="4">
        <v>28541</v>
      </c>
      <c r="F34" s="1" t="s">
        <v>250</v>
      </c>
      <c r="G34" s="362">
        <v>32</v>
      </c>
      <c r="H34" s="363" t="s">
        <v>211</v>
      </c>
      <c r="J34" s="362">
        <v>81</v>
      </c>
      <c r="K34" s="363" t="s">
        <v>212</v>
      </c>
    </row>
    <row r="35" spans="2:11" s="1" customFormat="1" ht="13.5">
      <c r="B35" s="46" t="s">
        <v>841</v>
      </c>
      <c r="C35" s="46">
        <v>28342</v>
      </c>
      <c r="D35" s="4" t="s">
        <v>874</v>
      </c>
      <c r="E35" s="4">
        <v>28542</v>
      </c>
      <c r="F35" s="1" t="s">
        <v>251</v>
      </c>
      <c r="G35" s="362">
        <v>33</v>
      </c>
      <c r="H35" s="363" t="s">
        <v>213</v>
      </c>
      <c r="J35" s="362">
        <v>82</v>
      </c>
      <c r="K35" s="363" t="s">
        <v>214</v>
      </c>
    </row>
    <row r="36" spans="2:11" s="1" customFormat="1" ht="13.5">
      <c r="B36" s="46" t="s">
        <v>842</v>
      </c>
      <c r="C36" s="46">
        <v>28343</v>
      </c>
      <c r="D36" s="4" t="s">
        <v>875</v>
      </c>
      <c r="E36" s="4">
        <v>28544</v>
      </c>
      <c r="F36" s="1" t="s">
        <v>252</v>
      </c>
      <c r="G36" s="362">
        <v>34</v>
      </c>
      <c r="H36" s="363" t="s">
        <v>215</v>
      </c>
      <c r="J36" s="362">
        <v>83</v>
      </c>
      <c r="K36" s="363" t="s">
        <v>216</v>
      </c>
    </row>
    <row r="37" spans="2:11" s="1" customFormat="1" ht="12">
      <c r="B37" s="46" t="s">
        <v>876</v>
      </c>
      <c r="C37" s="46">
        <v>28361</v>
      </c>
      <c r="D37" s="46" t="s">
        <v>877</v>
      </c>
      <c r="E37" s="46">
        <v>28421</v>
      </c>
      <c r="F37" s="1" t="s">
        <v>253</v>
      </c>
      <c r="G37" s="362">
        <v>35</v>
      </c>
      <c r="H37" s="363" t="s">
        <v>217</v>
      </c>
      <c r="J37" s="362">
        <v>84</v>
      </c>
      <c r="K37" s="363" t="s">
        <v>218</v>
      </c>
    </row>
    <row r="38" spans="2:11" s="1" customFormat="1" ht="12">
      <c r="B38" s="46" t="s">
        <v>878</v>
      </c>
      <c r="C38" s="46">
        <v>28362</v>
      </c>
      <c r="D38" s="46" t="s">
        <v>879</v>
      </c>
      <c r="E38" s="46">
        <v>28422</v>
      </c>
      <c r="F38" s="1" t="s">
        <v>254</v>
      </c>
      <c r="G38" s="362">
        <v>36</v>
      </c>
      <c r="H38" s="363" t="s">
        <v>219</v>
      </c>
      <c r="J38" s="362">
        <v>85</v>
      </c>
      <c r="K38" s="363" t="s">
        <v>220</v>
      </c>
    </row>
    <row r="39" spans="2:11" s="1" customFormat="1" ht="12">
      <c r="B39" s="46" t="s">
        <v>880</v>
      </c>
      <c r="C39" s="46">
        <v>28363</v>
      </c>
      <c r="D39" s="46" t="s">
        <v>820</v>
      </c>
      <c r="E39" s="46">
        <v>28107</v>
      </c>
      <c r="F39" s="1" t="s">
        <v>255</v>
      </c>
      <c r="G39" s="362">
        <v>37</v>
      </c>
      <c r="H39" s="363" t="s">
        <v>221</v>
      </c>
      <c r="J39" s="362">
        <v>86</v>
      </c>
      <c r="K39" s="363" t="s">
        <v>222</v>
      </c>
    </row>
    <row r="40" spans="2:11" s="1" customFormat="1" ht="12">
      <c r="B40" s="46" t="s">
        <v>881</v>
      </c>
      <c r="C40" s="46">
        <v>28364</v>
      </c>
      <c r="D40" s="46" t="s">
        <v>821</v>
      </c>
      <c r="E40" s="46">
        <v>28108</v>
      </c>
      <c r="F40" s="1" t="s">
        <v>256</v>
      </c>
      <c r="G40" s="362">
        <v>38</v>
      </c>
      <c r="H40" s="363" t="s">
        <v>223</v>
      </c>
      <c r="J40" s="362">
        <v>87</v>
      </c>
      <c r="K40" s="363" t="s">
        <v>224</v>
      </c>
    </row>
    <row r="41" spans="2:11" s="1" customFormat="1" ht="12">
      <c r="B41" s="46" t="s">
        <v>837</v>
      </c>
      <c r="C41" s="46">
        <v>28381</v>
      </c>
      <c r="D41" s="46" t="s">
        <v>825</v>
      </c>
      <c r="E41" s="46">
        <v>28110</v>
      </c>
      <c r="F41" s="1" t="s">
        <v>257</v>
      </c>
      <c r="G41" s="362">
        <v>39</v>
      </c>
      <c r="H41" s="363" t="s">
        <v>225</v>
      </c>
      <c r="J41" s="362">
        <v>88</v>
      </c>
      <c r="K41" s="363" t="s">
        <v>226</v>
      </c>
    </row>
    <row r="42" spans="2:11" s="1" customFormat="1" ht="12">
      <c r="B42" s="46" t="s">
        <v>834</v>
      </c>
      <c r="C42" s="46">
        <v>28382</v>
      </c>
      <c r="D42" s="46" t="s">
        <v>824</v>
      </c>
      <c r="E42" s="46">
        <v>28110</v>
      </c>
      <c r="F42" s="1" t="s">
        <v>258</v>
      </c>
      <c r="G42" s="362">
        <v>40</v>
      </c>
      <c r="H42" s="363" t="s">
        <v>672</v>
      </c>
      <c r="J42" s="362">
        <v>89</v>
      </c>
      <c r="K42" s="363" t="s">
        <v>227</v>
      </c>
    </row>
    <row r="43" spans="2:11" s="1" customFormat="1" ht="12">
      <c r="B43" s="46" t="s">
        <v>877</v>
      </c>
      <c r="C43" s="46">
        <v>28421</v>
      </c>
      <c r="D43" s="46" t="s">
        <v>819</v>
      </c>
      <c r="E43" s="46">
        <v>28106</v>
      </c>
      <c r="F43" s="1" t="s">
        <v>259</v>
      </c>
      <c r="G43" s="362">
        <v>41</v>
      </c>
      <c r="H43" s="363" t="s">
        <v>673</v>
      </c>
      <c r="J43" s="362">
        <v>90</v>
      </c>
      <c r="K43" s="363" t="s">
        <v>228</v>
      </c>
    </row>
    <row r="44" spans="2:11" s="1" customFormat="1" ht="12">
      <c r="B44" s="46" t="s">
        <v>879</v>
      </c>
      <c r="C44" s="46">
        <v>28422</v>
      </c>
      <c r="D44" s="46" t="s">
        <v>822</v>
      </c>
      <c r="E44" s="46">
        <v>28101</v>
      </c>
      <c r="F44" s="1" t="s">
        <v>260</v>
      </c>
      <c r="G44" s="362">
        <v>42</v>
      </c>
      <c r="H44" s="363" t="s">
        <v>229</v>
      </c>
      <c r="J44" s="362">
        <v>91</v>
      </c>
      <c r="K44" s="363" t="s">
        <v>230</v>
      </c>
    </row>
    <row r="45" spans="2:11" s="1" customFormat="1" ht="12">
      <c r="B45" s="46" t="s">
        <v>882</v>
      </c>
      <c r="C45" s="46">
        <v>28441</v>
      </c>
      <c r="D45" s="46" t="s">
        <v>823</v>
      </c>
      <c r="E45" s="46">
        <v>28102</v>
      </c>
      <c r="F45" s="1" t="s">
        <v>261</v>
      </c>
      <c r="G45" s="362">
        <v>43</v>
      </c>
      <c r="H45" s="363" t="s">
        <v>231</v>
      </c>
      <c r="J45" s="362">
        <v>92</v>
      </c>
      <c r="K45" s="363" t="s">
        <v>232</v>
      </c>
    </row>
    <row r="46" spans="2:11" s="1" customFormat="1" ht="12">
      <c r="B46" s="46" t="s">
        <v>883</v>
      </c>
      <c r="C46" s="46">
        <v>28442</v>
      </c>
      <c r="D46" s="46" t="s">
        <v>818</v>
      </c>
      <c r="E46" s="46">
        <v>28105</v>
      </c>
      <c r="F46" s="1" t="s">
        <v>262</v>
      </c>
      <c r="G46" s="362">
        <v>44</v>
      </c>
      <c r="H46" s="363" t="s">
        <v>233</v>
      </c>
      <c r="J46" s="362">
        <v>93</v>
      </c>
      <c r="K46" s="363" t="s">
        <v>234</v>
      </c>
    </row>
    <row r="47" spans="2:11" s="1" customFormat="1" ht="12">
      <c r="B47" s="46" t="s">
        <v>884</v>
      </c>
      <c r="C47" s="46">
        <v>28443</v>
      </c>
      <c r="D47" s="46" t="s">
        <v>839</v>
      </c>
      <c r="E47" s="46">
        <v>28109</v>
      </c>
      <c r="F47" s="1" t="s">
        <v>263</v>
      </c>
      <c r="G47" s="362">
        <v>45</v>
      </c>
      <c r="H47" s="363" t="s">
        <v>235</v>
      </c>
      <c r="J47" s="362">
        <v>94</v>
      </c>
      <c r="K47" s="363" t="s">
        <v>236</v>
      </c>
    </row>
    <row r="48" spans="2:11" s="1" customFormat="1" ht="12">
      <c r="B48" s="46" t="s">
        <v>885</v>
      </c>
      <c r="C48" s="46">
        <v>28444</v>
      </c>
      <c r="D48" s="46" t="s">
        <v>885</v>
      </c>
      <c r="E48" s="46">
        <v>28444</v>
      </c>
      <c r="F48" s="1" t="s">
        <v>264</v>
      </c>
      <c r="G48" s="362">
        <v>46</v>
      </c>
      <c r="H48" s="363" t="s">
        <v>237</v>
      </c>
      <c r="J48" s="362">
        <v>95</v>
      </c>
      <c r="K48" s="363" t="s">
        <v>238</v>
      </c>
    </row>
    <row r="49" spans="2:11" s="1" customFormat="1" ht="12">
      <c r="B49" s="46" t="s">
        <v>886</v>
      </c>
      <c r="C49" s="46">
        <v>28445</v>
      </c>
      <c r="D49" s="46" t="s">
        <v>883</v>
      </c>
      <c r="E49" s="46">
        <v>28442</v>
      </c>
      <c r="F49" s="1" t="s">
        <v>265</v>
      </c>
      <c r="G49" s="362">
        <v>47</v>
      </c>
      <c r="H49" s="363" t="s">
        <v>239</v>
      </c>
      <c r="J49" s="362">
        <v>96</v>
      </c>
      <c r="K49" s="363" t="s">
        <v>240</v>
      </c>
    </row>
    <row r="50" spans="2:11" s="1" customFormat="1" ht="12.75" thickBot="1">
      <c r="B50" s="46" t="s">
        <v>887</v>
      </c>
      <c r="C50" s="46">
        <v>28461</v>
      </c>
      <c r="D50" s="46" t="s">
        <v>882</v>
      </c>
      <c r="E50" s="46">
        <v>28441</v>
      </c>
      <c r="F50" s="1" t="s">
        <v>266</v>
      </c>
      <c r="G50" s="362">
        <v>48</v>
      </c>
      <c r="H50" s="363" t="s">
        <v>674</v>
      </c>
      <c r="J50" s="364">
        <v>99</v>
      </c>
      <c r="K50" s="365" t="s">
        <v>241</v>
      </c>
    </row>
    <row r="51" spans="2:8" s="1" customFormat="1" ht="12.75" thickBot="1">
      <c r="B51" s="46" t="s">
        <v>888</v>
      </c>
      <c r="C51" s="46">
        <v>28462</v>
      </c>
      <c r="D51" s="46" t="s">
        <v>886</v>
      </c>
      <c r="E51" s="46">
        <v>28445</v>
      </c>
      <c r="F51" s="1" t="s">
        <v>267</v>
      </c>
      <c r="G51" s="364">
        <v>49</v>
      </c>
      <c r="H51" s="365" t="s">
        <v>242</v>
      </c>
    </row>
    <row r="52" spans="2:6" ht="13.5">
      <c r="B52" s="46" t="s">
        <v>889</v>
      </c>
      <c r="C52" s="46">
        <v>28463</v>
      </c>
      <c r="D52" s="46" t="s">
        <v>884</v>
      </c>
      <c r="E52" s="46">
        <v>28443</v>
      </c>
      <c r="F52" t="s">
        <v>268</v>
      </c>
    </row>
    <row r="53" spans="2:6" ht="13.5">
      <c r="B53" s="4" t="s">
        <v>890</v>
      </c>
      <c r="C53" s="4">
        <v>28464</v>
      </c>
      <c r="D53" s="46" t="s">
        <v>846</v>
      </c>
      <c r="E53" s="46">
        <v>28204</v>
      </c>
      <c r="F53" t="s">
        <v>269</v>
      </c>
    </row>
    <row r="54" spans="2:6" ht="13.5">
      <c r="B54" s="4" t="s">
        <v>891</v>
      </c>
      <c r="C54" s="4">
        <v>28481</v>
      </c>
      <c r="D54" s="46" t="s">
        <v>861</v>
      </c>
      <c r="E54" s="46">
        <v>28213</v>
      </c>
      <c r="F54" t="s">
        <v>270</v>
      </c>
    </row>
    <row r="55" spans="2:6" ht="13.5">
      <c r="B55" s="4" t="s">
        <v>843</v>
      </c>
      <c r="C55" s="4">
        <v>28501</v>
      </c>
      <c r="D55" s="4" t="s">
        <v>891</v>
      </c>
      <c r="E55" s="4">
        <v>28481</v>
      </c>
      <c r="F55" t="s">
        <v>271</v>
      </c>
    </row>
    <row r="56" spans="2:6" ht="13.5">
      <c r="B56" s="4" t="s">
        <v>847</v>
      </c>
      <c r="C56" s="4">
        <v>28502</v>
      </c>
      <c r="D56" s="46" t="s">
        <v>859</v>
      </c>
      <c r="E56" s="46">
        <v>28212</v>
      </c>
      <c r="F56" t="s">
        <v>272</v>
      </c>
    </row>
    <row r="57" spans="2:6" ht="13.5">
      <c r="B57" s="4" t="s">
        <v>849</v>
      </c>
      <c r="C57" s="4">
        <v>28503</v>
      </c>
      <c r="D57" s="46" t="s">
        <v>833</v>
      </c>
      <c r="E57" s="46">
        <v>28217</v>
      </c>
      <c r="F57" t="s">
        <v>273</v>
      </c>
    </row>
    <row r="58" spans="2:6" ht="13.5">
      <c r="B58" s="4" t="s">
        <v>845</v>
      </c>
      <c r="C58" s="4">
        <v>28504</v>
      </c>
      <c r="D58" s="46" t="s">
        <v>870</v>
      </c>
      <c r="E58" s="46">
        <v>28301</v>
      </c>
      <c r="F58" t="s">
        <v>274</v>
      </c>
    </row>
    <row r="59" spans="2:6" ht="13.5">
      <c r="B59" s="4" t="s">
        <v>863</v>
      </c>
      <c r="C59" s="4">
        <v>28521</v>
      </c>
      <c r="D59" s="46" t="s">
        <v>852</v>
      </c>
      <c r="E59" s="46">
        <v>28208</v>
      </c>
      <c r="F59" t="s">
        <v>275</v>
      </c>
    </row>
    <row r="60" spans="2:6" ht="13.5">
      <c r="B60" s="4" t="s">
        <v>860</v>
      </c>
      <c r="C60" s="4">
        <v>28522</v>
      </c>
      <c r="D60" s="46" t="s">
        <v>878</v>
      </c>
      <c r="E60" s="46">
        <v>28362</v>
      </c>
      <c r="F60" t="s">
        <v>276</v>
      </c>
    </row>
    <row r="61" spans="2:6" ht="13.5">
      <c r="B61" s="4" t="s">
        <v>862</v>
      </c>
      <c r="C61" s="4">
        <v>28523</v>
      </c>
      <c r="D61" s="46" t="s">
        <v>881</v>
      </c>
      <c r="E61" s="46">
        <v>28364</v>
      </c>
      <c r="F61" t="s">
        <v>277</v>
      </c>
    </row>
    <row r="62" spans="2:6" ht="13.5">
      <c r="B62" s="4" t="s">
        <v>865</v>
      </c>
      <c r="C62" s="4">
        <v>28524</v>
      </c>
      <c r="D62" s="46" t="s">
        <v>876</v>
      </c>
      <c r="E62" s="46">
        <v>28361</v>
      </c>
      <c r="F62" t="s">
        <v>278</v>
      </c>
    </row>
    <row r="63" spans="2:6" ht="13.5">
      <c r="B63" s="4" t="s">
        <v>864</v>
      </c>
      <c r="C63" s="4">
        <v>28525</v>
      </c>
      <c r="D63" s="46" t="s">
        <v>880</v>
      </c>
      <c r="E63" s="46">
        <v>28363</v>
      </c>
      <c r="F63" t="s">
        <v>279</v>
      </c>
    </row>
    <row r="64" spans="2:6" ht="13.5">
      <c r="B64" s="4" t="s">
        <v>873</v>
      </c>
      <c r="C64" s="4">
        <v>28541</v>
      </c>
      <c r="D64" s="46" t="s">
        <v>892</v>
      </c>
      <c r="E64" s="4">
        <v>28623</v>
      </c>
      <c r="F64" t="s">
        <v>280</v>
      </c>
    </row>
    <row r="65" spans="2:6" ht="13.5">
      <c r="B65" s="4" t="s">
        <v>874</v>
      </c>
      <c r="C65" s="4">
        <v>28542</v>
      </c>
      <c r="D65" s="46" t="s">
        <v>893</v>
      </c>
      <c r="E65" s="4">
        <v>28621</v>
      </c>
      <c r="F65" t="s">
        <v>281</v>
      </c>
    </row>
    <row r="66" spans="2:6" ht="13.5">
      <c r="B66" s="4" t="s">
        <v>872</v>
      </c>
      <c r="C66" s="4">
        <v>28543</v>
      </c>
      <c r="D66" s="46" t="s">
        <v>894</v>
      </c>
      <c r="E66" s="4">
        <v>28624</v>
      </c>
      <c r="F66" t="s">
        <v>285</v>
      </c>
    </row>
    <row r="67" spans="2:6" ht="13.5" customHeight="1">
      <c r="B67" s="4" t="s">
        <v>875</v>
      </c>
      <c r="C67" s="4">
        <v>28544</v>
      </c>
      <c r="D67" s="46" t="s">
        <v>895</v>
      </c>
      <c r="E67" s="4">
        <v>28622</v>
      </c>
      <c r="F67" t="s">
        <v>286</v>
      </c>
    </row>
    <row r="68" spans="2:6" ht="13.5">
      <c r="B68" s="4" t="s">
        <v>868</v>
      </c>
      <c r="C68" s="4">
        <v>28561</v>
      </c>
      <c r="D68" s="46" t="s">
        <v>896</v>
      </c>
      <c r="E68" s="4">
        <v>28684</v>
      </c>
      <c r="F68" t="s">
        <v>287</v>
      </c>
    </row>
    <row r="69" spans="2:6" ht="13.5">
      <c r="B69" s="4" t="s">
        <v>869</v>
      </c>
      <c r="C69" s="4">
        <v>28562</v>
      </c>
      <c r="D69" s="46" t="s">
        <v>897</v>
      </c>
      <c r="E69" s="4">
        <v>28685</v>
      </c>
      <c r="F69" t="s">
        <v>288</v>
      </c>
    </row>
    <row r="70" spans="2:6" ht="13.5">
      <c r="B70" s="46" t="s">
        <v>898</v>
      </c>
      <c r="C70" s="4">
        <v>28581</v>
      </c>
      <c r="D70" s="46" t="s">
        <v>899</v>
      </c>
      <c r="E70" s="4">
        <v>28682</v>
      </c>
      <c r="F70" t="s">
        <v>289</v>
      </c>
    </row>
    <row r="71" spans="2:6" ht="13.5">
      <c r="B71" s="46" t="s">
        <v>900</v>
      </c>
      <c r="C71" s="4">
        <v>28582</v>
      </c>
      <c r="D71" s="46" t="s">
        <v>901</v>
      </c>
      <c r="E71" s="4">
        <v>28681</v>
      </c>
      <c r="F71" t="s">
        <v>290</v>
      </c>
    </row>
    <row r="72" spans="2:6" ht="13.5">
      <c r="B72" s="46" t="s">
        <v>902</v>
      </c>
      <c r="C72" s="4">
        <v>28583</v>
      </c>
      <c r="D72" s="46" t="s">
        <v>903</v>
      </c>
      <c r="E72" s="4">
        <v>28686</v>
      </c>
      <c r="F72" t="s">
        <v>291</v>
      </c>
    </row>
    <row r="73" spans="2:6" ht="13.5">
      <c r="B73" s="46" t="s">
        <v>904</v>
      </c>
      <c r="C73" s="4">
        <v>28584</v>
      </c>
      <c r="D73" s="46" t="s">
        <v>905</v>
      </c>
      <c r="E73" s="4">
        <v>28683</v>
      </c>
      <c r="F73" t="s">
        <v>292</v>
      </c>
    </row>
    <row r="74" spans="2:6" ht="13.5">
      <c r="B74" s="46" t="s">
        <v>906</v>
      </c>
      <c r="C74" s="4">
        <v>28601</v>
      </c>
      <c r="D74" s="46" t="s">
        <v>827</v>
      </c>
      <c r="E74" s="46">
        <v>28202</v>
      </c>
      <c r="F74" t="s">
        <v>293</v>
      </c>
    </row>
    <row r="75" spans="2:6" ht="13.5">
      <c r="B75" s="46" t="s">
        <v>907</v>
      </c>
      <c r="C75" s="4">
        <v>28602</v>
      </c>
      <c r="D75" s="46" t="s">
        <v>904</v>
      </c>
      <c r="E75" s="4">
        <v>28584</v>
      </c>
      <c r="F75" t="s">
        <v>294</v>
      </c>
    </row>
    <row r="76" spans="2:6" ht="13.5">
      <c r="B76" s="46" t="s">
        <v>908</v>
      </c>
      <c r="C76" s="4">
        <v>28603</v>
      </c>
      <c r="D76" s="46" t="s">
        <v>898</v>
      </c>
      <c r="E76" s="4">
        <v>28581</v>
      </c>
      <c r="F76" t="s">
        <v>295</v>
      </c>
    </row>
    <row r="77" spans="2:6" ht="13.5">
      <c r="B77" s="46" t="s">
        <v>909</v>
      </c>
      <c r="C77" s="4">
        <v>28604</v>
      </c>
      <c r="D77" s="46" t="s">
        <v>902</v>
      </c>
      <c r="E77" s="4">
        <v>28583</v>
      </c>
      <c r="F77" t="s">
        <v>296</v>
      </c>
    </row>
    <row r="78" spans="2:6" ht="13.5">
      <c r="B78" s="46" t="s">
        <v>893</v>
      </c>
      <c r="C78" s="4">
        <v>28621</v>
      </c>
      <c r="D78" s="46" t="s">
        <v>900</v>
      </c>
      <c r="E78" s="4">
        <v>28582</v>
      </c>
      <c r="F78" t="s">
        <v>297</v>
      </c>
    </row>
    <row r="79" spans="2:6" ht="13.5">
      <c r="B79" s="46" t="s">
        <v>895</v>
      </c>
      <c r="C79" s="4">
        <v>28622</v>
      </c>
      <c r="D79" s="46" t="s">
        <v>871</v>
      </c>
      <c r="E79" s="46">
        <v>28321</v>
      </c>
      <c r="F79" t="s">
        <v>298</v>
      </c>
    </row>
    <row r="80" spans="2:6" ht="13.5">
      <c r="B80" s="46" t="s">
        <v>892</v>
      </c>
      <c r="C80" s="4">
        <v>28623</v>
      </c>
      <c r="D80" s="46" t="s">
        <v>826</v>
      </c>
      <c r="E80" s="46">
        <v>28201</v>
      </c>
      <c r="F80" t="s">
        <v>299</v>
      </c>
    </row>
    <row r="81" spans="2:6" ht="13.5">
      <c r="B81" s="46" t="s">
        <v>894</v>
      </c>
      <c r="C81" s="4">
        <v>28624</v>
      </c>
      <c r="D81" s="46" t="s">
        <v>910</v>
      </c>
      <c r="E81" s="4">
        <v>28645</v>
      </c>
      <c r="F81" t="s">
        <v>300</v>
      </c>
    </row>
    <row r="82" spans="2:6" ht="13.5">
      <c r="B82" s="46" t="s">
        <v>911</v>
      </c>
      <c r="C82" s="4">
        <v>28641</v>
      </c>
      <c r="D82" s="46" t="s">
        <v>912</v>
      </c>
      <c r="E82" s="4">
        <v>28646</v>
      </c>
      <c r="F82" t="s">
        <v>301</v>
      </c>
    </row>
    <row r="83" spans="2:6" ht="13.5">
      <c r="B83" s="46" t="s">
        <v>913</v>
      </c>
      <c r="C83" s="4">
        <v>28642</v>
      </c>
      <c r="D83" s="46" t="s">
        <v>914</v>
      </c>
      <c r="E83" s="4">
        <v>28644</v>
      </c>
      <c r="F83" t="s">
        <v>302</v>
      </c>
    </row>
    <row r="84" spans="2:6" ht="13.5">
      <c r="B84" s="46" t="s">
        <v>915</v>
      </c>
      <c r="C84" s="4">
        <v>28643</v>
      </c>
      <c r="D84" s="46" t="s">
        <v>915</v>
      </c>
      <c r="E84" s="4">
        <v>28643</v>
      </c>
      <c r="F84" t="s">
        <v>303</v>
      </c>
    </row>
    <row r="85" spans="2:6" ht="13.5">
      <c r="B85" s="46" t="s">
        <v>914</v>
      </c>
      <c r="C85" s="4">
        <v>28644</v>
      </c>
      <c r="D85" s="46" t="s">
        <v>911</v>
      </c>
      <c r="E85" s="4">
        <v>28641</v>
      </c>
      <c r="F85" t="s">
        <v>304</v>
      </c>
    </row>
    <row r="86" spans="2:6" ht="13.5">
      <c r="B86" s="46" t="s">
        <v>910</v>
      </c>
      <c r="C86" s="4">
        <v>28645</v>
      </c>
      <c r="D86" s="46" t="s">
        <v>913</v>
      </c>
      <c r="E86" s="4">
        <v>28642</v>
      </c>
      <c r="F86" t="s">
        <v>305</v>
      </c>
    </row>
    <row r="87" spans="2:6" ht="13.5">
      <c r="B87" s="46" t="s">
        <v>912</v>
      </c>
      <c r="C87" s="4">
        <v>28646</v>
      </c>
      <c r="D87" s="46" t="s">
        <v>831</v>
      </c>
      <c r="E87" s="46">
        <v>28214</v>
      </c>
      <c r="F87" t="s">
        <v>306</v>
      </c>
    </row>
    <row r="88" spans="2:6" ht="13.5">
      <c r="B88" s="46" t="s">
        <v>901</v>
      </c>
      <c r="C88" s="4">
        <v>28681</v>
      </c>
      <c r="D88" s="46" t="s">
        <v>854</v>
      </c>
      <c r="E88" s="46">
        <v>28209</v>
      </c>
      <c r="F88" t="s">
        <v>307</v>
      </c>
    </row>
    <row r="89" spans="2:6" ht="13.5">
      <c r="B89" s="46" t="s">
        <v>899</v>
      </c>
      <c r="C89" s="4">
        <v>28682</v>
      </c>
      <c r="D89" s="46" t="s">
        <v>844</v>
      </c>
      <c r="E89" s="46">
        <v>28203</v>
      </c>
      <c r="F89" t="s">
        <v>308</v>
      </c>
    </row>
    <row r="90" spans="2:6" ht="13.5">
      <c r="B90" s="46" t="s">
        <v>905</v>
      </c>
      <c r="C90" s="4">
        <v>28683</v>
      </c>
      <c r="D90" s="46" t="s">
        <v>889</v>
      </c>
      <c r="E90" s="46">
        <v>28463</v>
      </c>
      <c r="F90" t="s">
        <v>309</v>
      </c>
    </row>
    <row r="91" spans="2:6" ht="13.5">
      <c r="B91" s="46" t="s">
        <v>896</v>
      </c>
      <c r="C91" s="4">
        <v>28684</v>
      </c>
      <c r="D91" s="46" t="s">
        <v>887</v>
      </c>
      <c r="E91" s="46">
        <v>28461</v>
      </c>
      <c r="F91" t="s">
        <v>310</v>
      </c>
    </row>
    <row r="92" spans="2:6" ht="13.5">
      <c r="B92" s="46" t="s">
        <v>897</v>
      </c>
      <c r="C92" s="4">
        <v>28685</v>
      </c>
      <c r="D92" s="4" t="s">
        <v>890</v>
      </c>
      <c r="E92" s="4">
        <v>28464</v>
      </c>
      <c r="F92" t="s">
        <v>311</v>
      </c>
    </row>
    <row r="93" spans="2:6" ht="13.5">
      <c r="B93" s="46" t="s">
        <v>903</v>
      </c>
      <c r="C93" s="4">
        <v>28686</v>
      </c>
      <c r="D93" s="46" t="s">
        <v>888</v>
      </c>
      <c r="E93" s="46">
        <v>28462</v>
      </c>
      <c r="F93" t="s">
        <v>312</v>
      </c>
    </row>
    <row r="94" spans="2:6" ht="13.5">
      <c r="B94" s="46" t="s">
        <v>855</v>
      </c>
      <c r="C94" s="4">
        <v>28701</v>
      </c>
      <c r="D94" s="46" t="s">
        <v>909</v>
      </c>
      <c r="E94" s="4">
        <v>28604</v>
      </c>
      <c r="F94" t="s">
        <v>313</v>
      </c>
    </row>
    <row r="95" spans="2:6" ht="13.5">
      <c r="B95" s="46" t="s">
        <v>851</v>
      </c>
      <c r="C95" s="4">
        <v>28702</v>
      </c>
      <c r="D95" s="46" t="s">
        <v>908</v>
      </c>
      <c r="E95" s="4">
        <v>28603</v>
      </c>
      <c r="F95" t="s">
        <v>314</v>
      </c>
    </row>
    <row r="96" spans="2:6" ht="13.5">
      <c r="B96" s="46" t="s">
        <v>850</v>
      </c>
      <c r="C96" s="4">
        <v>28703</v>
      </c>
      <c r="D96" s="46" t="s">
        <v>906</v>
      </c>
      <c r="E96" s="4">
        <v>28601</v>
      </c>
      <c r="F96" t="s">
        <v>315</v>
      </c>
    </row>
    <row r="97" spans="2:6" ht="13.5">
      <c r="B97" s="46" t="s">
        <v>853</v>
      </c>
      <c r="C97" s="4">
        <v>28704</v>
      </c>
      <c r="D97" s="46" t="s">
        <v>907</v>
      </c>
      <c r="E97" s="4">
        <v>28602</v>
      </c>
      <c r="F97" t="s">
        <v>316</v>
      </c>
    </row>
    <row r="98" spans="2:6" ht="13.5">
      <c r="B98" s="46" t="s">
        <v>866</v>
      </c>
      <c r="C98" s="4">
        <v>28820</v>
      </c>
      <c r="D98" s="46" t="s">
        <v>857</v>
      </c>
      <c r="E98" s="46">
        <v>28211</v>
      </c>
      <c r="F98" t="s">
        <v>317</v>
      </c>
    </row>
  </sheetData>
  <sheetProtection/>
  <mergeCells count="1">
    <mergeCell ref="G1:K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U202"/>
  <sheetViews>
    <sheetView workbookViewId="0" topLeftCell="H1">
      <selection activeCell="G1" sqref="A1:G16384"/>
    </sheetView>
  </sheetViews>
  <sheetFormatPr defaultColWidth="9.00390625" defaultRowHeight="13.5"/>
  <cols>
    <col min="1" max="1" width="9.00390625" style="0" hidden="1" customWidth="1"/>
    <col min="2" max="2" width="13.00390625" style="0" hidden="1" customWidth="1"/>
    <col min="3" max="3" width="12.875" style="0" hidden="1" customWidth="1"/>
    <col min="4" max="7" width="9.00390625" style="0" hidden="1" customWidth="1"/>
    <col min="8" max="8" width="8.50390625" style="0" customWidth="1"/>
    <col min="9" max="10" width="13.125" style="0" customWidth="1"/>
    <col min="11" max="11" width="18.00390625" style="0" bestFit="1" customWidth="1"/>
    <col min="12" max="12" width="8.00390625" style="0" customWidth="1"/>
    <col min="13" max="13" width="12.50390625" style="0" customWidth="1"/>
    <col min="14" max="14" width="2.875" style="0" customWidth="1"/>
    <col min="15" max="15" width="8.375" style="270" customWidth="1"/>
    <col min="16" max="16" width="11.125" style="270" customWidth="1"/>
    <col min="17" max="17" width="13.00390625" style="270" customWidth="1"/>
    <col min="18" max="18" width="17.875" style="270" customWidth="1"/>
    <col min="19" max="19" width="9.00390625" style="270" customWidth="1"/>
    <col min="20" max="20" width="11.75390625" style="270" customWidth="1"/>
    <col min="21" max="21" width="12.75390625" style="270" customWidth="1"/>
  </cols>
  <sheetData>
    <row r="1" ht="17.25">
      <c r="H1" s="5" t="s">
        <v>778</v>
      </c>
    </row>
    <row r="2" spans="1:18" ht="24.75" thickBot="1">
      <c r="A2" t="s">
        <v>386</v>
      </c>
      <c r="D2" t="s">
        <v>385</v>
      </c>
      <c r="H2" s="269" t="s">
        <v>77</v>
      </c>
      <c r="J2" s="270"/>
      <c r="K2" s="270"/>
      <c r="L2" s="271"/>
      <c r="M2" s="271"/>
      <c r="Q2" s="308" t="s">
        <v>130</v>
      </c>
      <c r="R2" s="308"/>
    </row>
    <row r="3" spans="1:21" ht="18" thickBot="1">
      <c r="A3" t="s">
        <v>471</v>
      </c>
      <c r="B3" t="s">
        <v>472</v>
      </c>
      <c r="C3" t="s">
        <v>473</v>
      </c>
      <c r="D3" t="s">
        <v>471</v>
      </c>
      <c r="E3" t="s">
        <v>472</v>
      </c>
      <c r="F3" t="s">
        <v>473</v>
      </c>
      <c r="H3" s="581" t="s">
        <v>78</v>
      </c>
      <c r="I3" s="582"/>
      <c r="J3" s="272" t="s">
        <v>79</v>
      </c>
      <c r="K3" s="273" t="s">
        <v>80</v>
      </c>
      <c r="L3" s="273" t="s">
        <v>81</v>
      </c>
      <c r="M3" s="274" t="s">
        <v>82</v>
      </c>
      <c r="O3" s="581" t="s">
        <v>78</v>
      </c>
      <c r="P3" s="583"/>
      <c r="Q3" s="309" t="s">
        <v>79</v>
      </c>
      <c r="R3" s="273" t="s">
        <v>80</v>
      </c>
      <c r="S3" s="273" t="s">
        <v>81</v>
      </c>
      <c r="T3" s="273" t="s">
        <v>82</v>
      </c>
      <c r="U3" s="274" t="s">
        <v>131</v>
      </c>
    </row>
    <row r="4" spans="1:21" ht="17.25">
      <c r="A4" t="s">
        <v>708</v>
      </c>
      <c r="B4">
        <v>0.12</v>
      </c>
      <c r="C4">
        <v>0</v>
      </c>
      <c r="D4" t="s">
        <v>519</v>
      </c>
      <c r="E4">
        <v>2.18</v>
      </c>
      <c r="F4">
        <v>0</v>
      </c>
      <c r="H4" s="275"/>
      <c r="I4" s="276" t="s">
        <v>83</v>
      </c>
      <c r="J4" s="277" t="s">
        <v>84</v>
      </c>
      <c r="K4" s="278" t="s">
        <v>85</v>
      </c>
      <c r="L4" s="278" t="s">
        <v>86</v>
      </c>
      <c r="M4" s="279">
        <v>2.18</v>
      </c>
      <c r="O4" s="275"/>
      <c r="P4" s="395" t="s">
        <v>83</v>
      </c>
      <c r="Q4" s="311" t="s">
        <v>111</v>
      </c>
      <c r="R4" s="303" t="s">
        <v>85</v>
      </c>
      <c r="S4" s="278" t="s">
        <v>86</v>
      </c>
      <c r="T4" s="312">
        <v>1.7034482758620688</v>
      </c>
      <c r="U4" s="313">
        <v>0.2</v>
      </c>
    </row>
    <row r="5" spans="1:21" ht="17.25">
      <c r="A5" t="s">
        <v>709</v>
      </c>
      <c r="B5">
        <v>0.04</v>
      </c>
      <c r="C5">
        <v>0</v>
      </c>
      <c r="D5" t="s">
        <v>520</v>
      </c>
      <c r="E5">
        <v>1</v>
      </c>
      <c r="F5">
        <v>0</v>
      </c>
      <c r="H5" s="275"/>
      <c r="I5" s="276"/>
      <c r="J5" s="280" t="s">
        <v>87</v>
      </c>
      <c r="K5" s="281" t="s">
        <v>88</v>
      </c>
      <c r="L5" s="276"/>
      <c r="M5" s="282">
        <v>2.18</v>
      </c>
      <c r="O5" s="275"/>
      <c r="P5" s="310"/>
      <c r="Q5" s="285" t="s">
        <v>89</v>
      </c>
      <c r="R5" s="281" t="s">
        <v>132</v>
      </c>
      <c r="S5" s="276"/>
      <c r="T5" s="314">
        <v>1.5241379310344827</v>
      </c>
      <c r="U5" s="315">
        <v>0.2</v>
      </c>
    </row>
    <row r="6" spans="1:21" ht="17.25">
      <c r="A6" t="s">
        <v>701</v>
      </c>
      <c r="B6" t="s">
        <v>687</v>
      </c>
      <c r="C6">
        <v>0</v>
      </c>
      <c r="D6" t="s">
        <v>521</v>
      </c>
      <c r="E6">
        <v>0.6</v>
      </c>
      <c r="F6">
        <v>0</v>
      </c>
      <c r="H6" s="275"/>
      <c r="I6" s="276"/>
      <c r="J6" s="280" t="s">
        <v>89</v>
      </c>
      <c r="K6" s="281" t="s">
        <v>90</v>
      </c>
      <c r="L6" s="276"/>
      <c r="M6" s="282">
        <v>1</v>
      </c>
      <c r="O6" s="275"/>
      <c r="P6" s="310"/>
      <c r="Q6" s="285" t="s">
        <v>133</v>
      </c>
      <c r="R6" s="281" t="s">
        <v>134</v>
      </c>
      <c r="S6" s="276"/>
      <c r="T6" s="314">
        <v>1.3</v>
      </c>
      <c r="U6" s="315">
        <v>0.2</v>
      </c>
    </row>
    <row r="7" spans="1:21" ht="17.25">
      <c r="A7" t="s">
        <v>702</v>
      </c>
      <c r="B7">
        <v>0.5</v>
      </c>
      <c r="C7">
        <v>0</v>
      </c>
      <c r="D7" t="s">
        <v>522</v>
      </c>
      <c r="E7">
        <v>0.25</v>
      </c>
      <c r="F7">
        <v>0</v>
      </c>
      <c r="H7" s="275"/>
      <c r="I7" s="276"/>
      <c r="J7" s="280" t="s">
        <v>91</v>
      </c>
      <c r="K7" s="281" t="s">
        <v>92</v>
      </c>
      <c r="L7" s="276"/>
      <c r="M7" s="282">
        <v>0.6</v>
      </c>
      <c r="O7" s="275"/>
      <c r="P7" s="310"/>
      <c r="Q7" s="285" t="s">
        <v>135</v>
      </c>
      <c r="R7" s="281" t="s">
        <v>136</v>
      </c>
      <c r="S7" s="276"/>
      <c r="T7" s="314">
        <v>0.9</v>
      </c>
      <c r="U7" s="315">
        <v>0.2</v>
      </c>
    </row>
    <row r="8" spans="1:21" ht="17.25">
      <c r="A8" t="s">
        <v>706</v>
      </c>
      <c r="B8">
        <v>0.12</v>
      </c>
      <c r="C8">
        <v>0</v>
      </c>
      <c r="D8" t="s">
        <v>523</v>
      </c>
      <c r="E8">
        <v>0.25</v>
      </c>
      <c r="F8">
        <v>0</v>
      </c>
      <c r="H8" s="275"/>
      <c r="I8" s="276"/>
      <c r="J8" s="283" t="s">
        <v>93</v>
      </c>
      <c r="K8" s="281" t="s">
        <v>94</v>
      </c>
      <c r="L8" s="276"/>
      <c r="M8" s="282">
        <v>0.25</v>
      </c>
      <c r="O8" s="275"/>
      <c r="P8" s="310"/>
      <c r="Q8" s="285" t="s">
        <v>137</v>
      </c>
      <c r="R8" s="281" t="s">
        <v>138</v>
      </c>
      <c r="S8" s="276"/>
      <c r="T8" s="314">
        <v>0.6</v>
      </c>
      <c r="U8" s="316">
        <v>0.2</v>
      </c>
    </row>
    <row r="9" spans="1:21" ht="17.25">
      <c r="A9" t="s">
        <v>707</v>
      </c>
      <c r="B9">
        <v>0.12</v>
      </c>
      <c r="C9">
        <v>0</v>
      </c>
      <c r="D9" t="s">
        <v>524</v>
      </c>
      <c r="E9">
        <v>0.25</v>
      </c>
      <c r="F9">
        <v>0</v>
      </c>
      <c r="H9" s="275"/>
      <c r="I9" s="284"/>
      <c r="J9" s="283" t="s">
        <v>95</v>
      </c>
      <c r="K9" s="285" t="s">
        <v>96</v>
      </c>
      <c r="L9" s="276"/>
      <c r="M9" s="282">
        <v>0.08</v>
      </c>
      <c r="O9" s="275"/>
      <c r="P9" s="310"/>
      <c r="Q9" s="285" t="s">
        <v>139</v>
      </c>
      <c r="R9" s="281" t="s">
        <v>140</v>
      </c>
      <c r="S9" s="276"/>
      <c r="T9" s="314">
        <v>0.4</v>
      </c>
      <c r="U9" s="316">
        <v>0.08</v>
      </c>
    </row>
    <row r="10" spans="1:21" ht="17.25">
      <c r="A10" t="s">
        <v>710</v>
      </c>
      <c r="B10">
        <v>0.14</v>
      </c>
      <c r="C10">
        <v>0</v>
      </c>
      <c r="D10" t="s">
        <v>525</v>
      </c>
      <c r="E10">
        <v>0.08</v>
      </c>
      <c r="F10">
        <v>0</v>
      </c>
      <c r="H10" s="275"/>
      <c r="I10" s="276"/>
      <c r="J10" s="277"/>
      <c r="K10" s="281" t="s">
        <v>97</v>
      </c>
      <c r="L10" s="276"/>
      <c r="M10" s="286">
        <v>0.06</v>
      </c>
      <c r="O10" s="275"/>
      <c r="P10" s="317"/>
      <c r="Q10" s="285" t="s">
        <v>141</v>
      </c>
      <c r="R10" s="281" t="s">
        <v>142</v>
      </c>
      <c r="S10" s="276"/>
      <c r="T10" s="314">
        <v>0.28</v>
      </c>
      <c r="U10" s="316">
        <v>0.052</v>
      </c>
    </row>
    <row r="11" spans="1:21" ht="17.25">
      <c r="A11" t="s">
        <v>703</v>
      </c>
      <c r="B11">
        <v>0.3</v>
      </c>
      <c r="C11">
        <v>0</v>
      </c>
      <c r="D11" t="s">
        <v>526</v>
      </c>
      <c r="E11">
        <v>0.08</v>
      </c>
      <c r="F11">
        <v>0</v>
      </c>
      <c r="H11" s="275"/>
      <c r="I11" s="276"/>
      <c r="J11" s="277"/>
      <c r="K11" s="281" t="s">
        <v>98</v>
      </c>
      <c r="L11" s="276"/>
      <c r="M11" s="286">
        <v>0.04</v>
      </c>
      <c r="O11" s="275"/>
      <c r="P11" s="310" t="s">
        <v>100</v>
      </c>
      <c r="Q11" s="285" t="s">
        <v>111</v>
      </c>
      <c r="R11" s="281" t="s">
        <v>85</v>
      </c>
      <c r="S11" s="278" t="s">
        <v>86</v>
      </c>
      <c r="T11" s="314">
        <v>2.8275391204988716</v>
      </c>
      <c r="U11" s="316">
        <v>0.25</v>
      </c>
    </row>
    <row r="12" spans="1:21" ht="17.25">
      <c r="A12" t="s">
        <v>763</v>
      </c>
      <c r="B12">
        <v>0.04</v>
      </c>
      <c r="C12">
        <v>0</v>
      </c>
      <c r="D12" t="s">
        <v>527</v>
      </c>
      <c r="E12">
        <v>1.8</v>
      </c>
      <c r="F12">
        <v>0</v>
      </c>
      <c r="H12" s="275"/>
      <c r="I12" s="276"/>
      <c r="J12" s="287"/>
      <c r="K12" s="281" t="s">
        <v>99</v>
      </c>
      <c r="L12" s="276"/>
      <c r="M12" s="286">
        <v>0.02</v>
      </c>
      <c r="O12" s="275"/>
      <c r="P12" s="310"/>
      <c r="Q12" s="285" t="s">
        <v>89</v>
      </c>
      <c r="R12" s="281" t="s">
        <v>132</v>
      </c>
      <c r="S12" s="276"/>
      <c r="T12" s="314">
        <v>2.5299034236042535</v>
      </c>
      <c r="U12" s="316">
        <v>0.25</v>
      </c>
    </row>
    <row r="13" spans="1:21" ht="17.25">
      <c r="A13" t="s">
        <v>774</v>
      </c>
      <c r="B13">
        <v>0.18</v>
      </c>
      <c r="C13">
        <v>0</v>
      </c>
      <c r="D13" t="s">
        <v>528</v>
      </c>
      <c r="E13">
        <v>1.2</v>
      </c>
      <c r="F13">
        <v>0</v>
      </c>
      <c r="H13" s="275"/>
      <c r="I13" s="288" t="s">
        <v>100</v>
      </c>
      <c r="J13" s="289" t="s">
        <v>84</v>
      </c>
      <c r="K13" s="290" t="s">
        <v>85</v>
      </c>
      <c r="L13" s="290" t="s">
        <v>86</v>
      </c>
      <c r="M13" s="291">
        <v>2.18</v>
      </c>
      <c r="O13" s="275"/>
      <c r="P13" s="310"/>
      <c r="Q13" s="285" t="s">
        <v>133</v>
      </c>
      <c r="R13" s="281" t="s">
        <v>134</v>
      </c>
      <c r="S13" s="276"/>
      <c r="T13" s="314">
        <v>2.157858802485981</v>
      </c>
      <c r="U13" s="316">
        <v>0.25</v>
      </c>
    </row>
    <row r="14" spans="1:21" ht="17.25">
      <c r="A14" t="s">
        <v>704</v>
      </c>
      <c r="B14">
        <v>0.12</v>
      </c>
      <c r="C14">
        <v>0</v>
      </c>
      <c r="D14" t="s">
        <v>529</v>
      </c>
      <c r="E14">
        <v>0.9</v>
      </c>
      <c r="F14">
        <v>0</v>
      </c>
      <c r="H14" s="275"/>
      <c r="I14" s="276"/>
      <c r="J14" s="280" t="s">
        <v>87</v>
      </c>
      <c r="K14" s="281" t="s">
        <v>88</v>
      </c>
      <c r="L14" s="276"/>
      <c r="M14" s="282">
        <v>1.8</v>
      </c>
      <c r="O14" s="275"/>
      <c r="P14" s="310"/>
      <c r="Q14" s="285" t="s">
        <v>135</v>
      </c>
      <c r="R14" s="281" t="s">
        <v>136</v>
      </c>
      <c r="S14" s="276"/>
      <c r="T14" s="314">
        <v>1.9346320298150173</v>
      </c>
      <c r="U14" s="316">
        <v>0.25</v>
      </c>
    </row>
    <row r="15" spans="1:21" ht="17.25">
      <c r="A15" t="s">
        <v>705</v>
      </c>
      <c r="B15">
        <v>0.0625</v>
      </c>
      <c r="C15">
        <v>0</v>
      </c>
      <c r="D15" t="s">
        <v>530</v>
      </c>
      <c r="E15">
        <v>0.7</v>
      </c>
      <c r="F15">
        <v>0</v>
      </c>
      <c r="H15" s="275"/>
      <c r="I15" s="276"/>
      <c r="J15" s="280" t="s">
        <v>89</v>
      </c>
      <c r="K15" s="281" t="s">
        <v>90</v>
      </c>
      <c r="L15" s="276"/>
      <c r="M15" s="282">
        <v>1.2</v>
      </c>
      <c r="O15" s="275"/>
      <c r="P15" s="310"/>
      <c r="Q15" s="318" t="s">
        <v>137</v>
      </c>
      <c r="R15" s="292" t="s">
        <v>143</v>
      </c>
      <c r="S15" s="276"/>
      <c r="T15" s="314">
        <v>1.3</v>
      </c>
      <c r="U15" s="316">
        <v>0.25</v>
      </c>
    </row>
    <row r="16" spans="1:21" ht="17.25">
      <c r="A16" t="s">
        <v>764</v>
      </c>
      <c r="B16">
        <v>0.015</v>
      </c>
      <c r="C16">
        <v>0</v>
      </c>
      <c r="D16" t="s">
        <v>531</v>
      </c>
      <c r="E16">
        <v>0.4</v>
      </c>
      <c r="F16">
        <v>0</v>
      </c>
      <c r="H16" s="275"/>
      <c r="I16" s="276"/>
      <c r="J16" s="280" t="s">
        <v>91</v>
      </c>
      <c r="K16" s="281" t="s">
        <v>92</v>
      </c>
      <c r="L16" s="276"/>
      <c r="M16" s="282">
        <v>0.9</v>
      </c>
      <c r="O16" s="275"/>
      <c r="P16" s="310"/>
      <c r="Q16" s="285" t="s">
        <v>144</v>
      </c>
      <c r="R16" s="319" t="s">
        <v>145</v>
      </c>
      <c r="S16" s="276"/>
      <c r="T16" s="314">
        <v>0.7</v>
      </c>
      <c r="U16" s="316">
        <v>0.09</v>
      </c>
    </row>
    <row r="17" spans="1:21" ht="17.25">
      <c r="A17" t="s">
        <v>762</v>
      </c>
      <c r="B17">
        <v>0.02</v>
      </c>
      <c r="C17">
        <v>0</v>
      </c>
      <c r="D17" t="s">
        <v>532</v>
      </c>
      <c r="E17">
        <v>0.4</v>
      </c>
      <c r="F17">
        <v>0</v>
      </c>
      <c r="H17" s="275"/>
      <c r="I17" s="276"/>
      <c r="J17" s="280" t="s">
        <v>101</v>
      </c>
      <c r="K17" s="281" t="s">
        <v>102</v>
      </c>
      <c r="L17" s="276"/>
      <c r="M17" s="282">
        <v>0.7</v>
      </c>
      <c r="O17" s="275"/>
      <c r="P17" s="310"/>
      <c r="Q17" s="285" t="s">
        <v>146</v>
      </c>
      <c r="R17" s="281" t="s">
        <v>147</v>
      </c>
      <c r="S17" s="276"/>
      <c r="T17" s="314">
        <v>0.49</v>
      </c>
      <c r="U17" s="316">
        <v>0.06</v>
      </c>
    </row>
    <row r="18" spans="1:21" ht="17.25">
      <c r="A18" t="s">
        <v>523</v>
      </c>
      <c r="B18">
        <v>0.25</v>
      </c>
      <c r="C18">
        <v>0</v>
      </c>
      <c r="D18" t="s">
        <v>533</v>
      </c>
      <c r="E18">
        <v>0.4</v>
      </c>
      <c r="F18">
        <v>0</v>
      </c>
      <c r="H18" s="275"/>
      <c r="I18" s="276"/>
      <c r="J18" s="280" t="s">
        <v>103</v>
      </c>
      <c r="K18" s="292" t="s">
        <v>104</v>
      </c>
      <c r="L18" s="276"/>
      <c r="M18" s="282">
        <v>0.4</v>
      </c>
      <c r="O18" s="275"/>
      <c r="P18" s="288" t="s">
        <v>110</v>
      </c>
      <c r="Q18" s="285" t="s">
        <v>111</v>
      </c>
      <c r="R18" s="281" t="s">
        <v>85</v>
      </c>
      <c r="S18" s="278" t="s">
        <v>86</v>
      </c>
      <c r="T18" s="314">
        <v>2.8275391204988716</v>
      </c>
      <c r="U18" s="316">
        <v>0.25</v>
      </c>
    </row>
    <row r="19" spans="1:21" ht="17.25">
      <c r="A19" t="s">
        <v>525</v>
      </c>
      <c r="B19">
        <v>0.08</v>
      </c>
      <c r="C19">
        <v>0</v>
      </c>
      <c r="D19" t="s">
        <v>534</v>
      </c>
      <c r="E19">
        <v>0.13</v>
      </c>
      <c r="F19">
        <v>0</v>
      </c>
      <c r="H19" s="275"/>
      <c r="I19" s="276"/>
      <c r="J19" s="283" t="s">
        <v>105</v>
      </c>
      <c r="K19" s="281" t="s">
        <v>106</v>
      </c>
      <c r="L19" s="276"/>
      <c r="M19" s="282">
        <v>0.13</v>
      </c>
      <c r="O19" s="275"/>
      <c r="P19" s="310"/>
      <c r="Q19" s="285" t="s">
        <v>89</v>
      </c>
      <c r="R19" s="281" t="s">
        <v>132</v>
      </c>
      <c r="S19" s="276"/>
      <c r="T19" s="314">
        <v>2.5299034236042535</v>
      </c>
      <c r="U19" s="316">
        <v>0.25</v>
      </c>
    </row>
    <row r="20" spans="1:21" ht="17.25">
      <c r="A20" t="s">
        <v>519</v>
      </c>
      <c r="B20">
        <v>2.18</v>
      </c>
      <c r="C20">
        <v>0</v>
      </c>
      <c r="D20" t="s">
        <v>535</v>
      </c>
      <c r="E20">
        <v>0.13</v>
      </c>
      <c r="F20">
        <v>0</v>
      </c>
      <c r="H20" s="275"/>
      <c r="I20" s="276"/>
      <c r="J20" s="277"/>
      <c r="K20" s="281" t="s">
        <v>107</v>
      </c>
      <c r="L20" s="276"/>
      <c r="M20" s="286">
        <v>0.1</v>
      </c>
      <c r="O20" s="275"/>
      <c r="P20" s="310"/>
      <c r="Q20" s="285" t="s">
        <v>133</v>
      </c>
      <c r="R20" s="281" t="s">
        <v>134</v>
      </c>
      <c r="S20" s="276"/>
      <c r="T20" s="314">
        <v>2.157858802485981</v>
      </c>
      <c r="U20" s="316">
        <v>0.25</v>
      </c>
    </row>
    <row r="21" spans="1:21" ht="17.25">
      <c r="A21" t="s">
        <v>524</v>
      </c>
      <c r="B21">
        <v>0.25</v>
      </c>
      <c r="C21">
        <v>0</v>
      </c>
      <c r="D21" t="s">
        <v>536</v>
      </c>
      <c r="E21">
        <v>1.2</v>
      </c>
      <c r="F21">
        <v>0</v>
      </c>
      <c r="H21" s="275"/>
      <c r="I21" s="276"/>
      <c r="J21" s="277"/>
      <c r="K21" s="281" t="s">
        <v>108</v>
      </c>
      <c r="L21" s="276"/>
      <c r="M21" s="286">
        <v>0.07</v>
      </c>
      <c r="O21" s="275"/>
      <c r="P21" s="310"/>
      <c r="Q21" s="285" t="s">
        <v>148</v>
      </c>
      <c r="R21" s="281" t="s">
        <v>149</v>
      </c>
      <c r="S21" s="276"/>
      <c r="T21" s="314">
        <v>1.9346320298150173</v>
      </c>
      <c r="U21" s="316">
        <v>0.25</v>
      </c>
    </row>
    <row r="22" spans="1:21" ht="17.25">
      <c r="A22" t="s">
        <v>526</v>
      </c>
      <c r="B22">
        <v>0.08</v>
      </c>
      <c r="C22">
        <v>0</v>
      </c>
      <c r="D22" t="s">
        <v>537</v>
      </c>
      <c r="E22">
        <v>0.9</v>
      </c>
      <c r="F22">
        <v>0</v>
      </c>
      <c r="H22" s="275"/>
      <c r="I22" s="276"/>
      <c r="J22" s="287"/>
      <c r="K22" s="281" t="s">
        <v>109</v>
      </c>
      <c r="L22" s="276"/>
      <c r="M22" s="286">
        <v>0.03</v>
      </c>
      <c r="O22" s="275"/>
      <c r="P22" s="310"/>
      <c r="Q22" s="285" t="s">
        <v>150</v>
      </c>
      <c r="R22" s="281" t="s">
        <v>151</v>
      </c>
      <c r="S22" s="276"/>
      <c r="T22" s="314">
        <v>1.3</v>
      </c>
      <c r="U22" s="316">
        <v>0.25</v>
      </c>
    </row>
    <row r="23" spans="1:21" ht="17.25">
      <c r="A23" t="s">
        <v>520</v>
      </c>
      <c r="B23">
        <v>1</v>
      </c>
      <c r="C23">
        <v>0</v>
      </c>
      <c r="D23" t="s">
        <v>538</v>
      </c>
      <c r="E23">
        <v>0.7</v>
      </c>
      <c r="F23">
        <v>0</v>
      </c>
      <c r="H23" s="275"/>
      <c r="I23" s="288" t="s">
        <v>110</v>
      </c>
      <c r="J23" s="289" t="s">
        <v>111</v>
      </c>
      <c r="K23" s="293" t="s">
        <v>85</v>
      </c>
      <c r="L23" s="290" t="s">
        <v>86</v>
      </c>
      <c r="M23" s="294">
        <v>1.8</v>
      </c>
      <c r="O23" s="275"/>
      <c r="P23" s="310"/>
      <c r="Q23" s="285" t="s">
        <v>139</v>
      </c>
      <c r="R23" s="281" t="s">
        <v>152</v>
      </c>
      <c r="S23" s="276"/>
      <c r="T23" s="314">
        <v>0.7</v>
      </c>
      <c r="U23" s="316">
        <v>0.09</v>
      </c>
    </row>
    <row r="24" spans="1:21" ht="17.25">
      <c r="A24" t="s">
        <v>521</v>
      </c>
      <c r="B24">
        <v>0.6</v>
      </c>
      <c r="C24">
        <v>0</v>
      </c>
      <c r="D24" t="s">
        <v>539</v>
      </c>
      <c r="E24">
        <v>0.49</v>
      </c>
      <c r="F24">
        <v>0</v>
      </c>
      <c r="H24" s="275"/>
      <c r="I24" s="310"/>
      <c r="J24" s="280" t="s">
        <v>89</v>
      </c>
      <c r="K24" s="281" t="s">
        <v>90</v>
      </c>
      <c r="L24" s="276"/>
      <c r="M24" s="282">
        <v>1.2</v>
      </c>
      <c r="O24" s="275"/>
      <c r="P24" s="317"/>
      <c r="Q24" s="285" t="s">
        <v>146</v>
      </c>
      <c r="R24" s="281" t="s">
        <v>153</v>
      </c>
      <c r="S24" s="276"/>
      <c r="T24" s="314">
        <v>0.49</v>
      </c>
      <c r="U24" s="316">
        <v>0.06</v>
      </c>
    </row>
    <row r="25" spans="1:21" ht="17.25">
      <c r="A25" t="s">
        <v>690</v>
      </c>
      <c r="B25">
        <v>0.04</v>
      </c>
      <c r="C25">
        <v>0</v>
      </c>
      <c r="D25" t="s">
        <v>540</v>
      </c>
      <c r="E25">
        <v>0.4</v>
      </c>
      <c r="F25">
        <v>0</v>
      </c>
      <c r="H25" s="275"/>
      <c r="I25" s="310"/>
      <c r="J25" s="280" t="s">
        <v>112</v>
      </c>
      <c r="K25" s="281" t="s">
        <v>113</v>
      </c>
      <c r="L25" s="276"/>
      <c r="M25" s="282">
        <v>0.9</v>
      </c>
      <c r="O25" s="275"/>
      <c r="P25" s="320" t="s">
        <v>118</v>
      </c>
      <c r="Q25" s="285" t="s">
        <v>111</v>
      </c>
      <c r="R25" s="281" t="s">
        <v>85</v>
      </c>
      <c r="S25" s="278" t="s">
        <v>119</v>
      </c>
      <c r="T25" s="314">
        <v>0.9030642837233096</v>
      </c>
      <c r="U25" s="321">
        <v>0.065</v>
      </c>
    </row>
    <row r="26" spans="1:21" ht="17.25">
      <c r="A26" t="s">
        <v>522</v>
      </c>
      <c r="B26">
        <v>0.25</v>
      </c>
      <c r="C26">
        <v>0</v>
      </c>
      <c r="D26" t="s">
        <v>541</v>
      </c>
      <c r="E26">
        <v>0.4</v>
      </c>
      <c r="F26">
        <v>0</v>
      </c>
      <c r="H26" s="275"/>
      <c r="I26" s="310"/>
      <c r="J26" s="280" t="s">
        <v>101</v>
      </c>
      <c r="K26" s="281" t="s">
        <v>102</v>
      </c>
      <c r="L26" s="276"/>
      <c r="M26" s="282">
        <v>0.7</v>
      </c>
      <c r="O26" s="275"/>
      <c r="P26" s="310"/>
      <c r="Q26" s="285" t="s">
        <v>89</v>
      </c>
      <c r="R26" s="281" t="s">
        <v>132</v>
      </c>
      <c r="S26" s="276"/>
      <c r="T26" s="314">
        <v>0.75</v>
      </c>
      <c r="U26" s="321">
        <v>0.065</v>
      </c>
    </row>
    <row r="27" spans="1:21" ht="17.25">
      <c r="A27" t="s">
        <v>688</v>
      </c>
      <c r="B27">
        <v>0.06</v>
      </c>
      <c r="C27">
        <v>0</v>
      </c>
      <c r="D27" t="s">
        <v>542</v>
      </c>
      <c r="E27">
        <v>0.4</v>
      </c>
      <c r="F27">
        <v>0</v>
      </c>
      <c r="H27" s="275"/>
      <c r="I27" s="310"/>
      <c r="J27" s="277" t="s">
        <v>114</v>
      </c>
      <c r="K27" s="281" t="s">
        <v>115</v>
      </c>
      <c r="L27" s="276"/>
      <c r="M27" s="282">
        <v>0.48888888888888893</v>
      </c>
      <c r="O27" s="275"/>
      <c r="P27" s="310"/>
      <c r="Q27" s="285" t="s">
        <v>133</v>
      </c>
      <c r="R27" s="281" t="s">
        <v>134</v>
      </c>
      <c r="S27" s="276"/>
      <c r="T27" s="314">
        <v>0.6529849436153161</v>
      </c>
      <c r="U27" s="321">
        <v>0.065</v>
      </c>
    </row>
    <row r="28" spans="1:21" ht="17.25">
      <c r="A28" t="s">
        <v>692</v>
      </c>
      <c r="B28">
        <v>0.02</v>
      </c>
      <c r="C28">
        <v>0</v>
      </c>
      <c r="D28" t="s">
        <v>543</v>
      </c>
      <c r="E28">
        <v>0.13</v>
      </c>
      <c r="F28">
        <v>0</v>
      </c>
      <c r="H28" s="275"/>
      <c r="I28" s="310"/>
      <c r="J28" s="280" t="s">
        <v>116</v>
      </c>
      <c r="K28" s="281" t="s">
        <v>117</v>
      </c>
      <c r="L28" s="276"/>
      <c r="M28" s="282">
        <v>0.4</v>
      </c>
      <c r="O28" s="275"/>
      <c r="P28" s="310"/>
      <c r="Q28" s="285" t="s">
        <v>154</v>
      </c>
      <c r="R28" s="281" t="s">
        <v>155</v>
      </c>
      <c r="S28" s="276"/>
      <c r="T28" s="314">
        <v>0.555731866906652</v>
      </c>
      <c r="U28" s="321">
        <v>0.065</v>
      </c>
    </row>
    <row r="29" spans="1:21" ht="17.25">
      <c r="A29" t="s">
        <v>689</v>
      </c>
      <c r="B29">
        <v>0.06</v>
      </c>
      <c r="C29">
        <v>0</v>
      </c>
      <c r="D29" t="s">
        <v>544</v>
      </c>
      <c r="E29">
        <v>0.13</v>
      </c>
      <c r="F29">
        <v>0</v>
      </c>
      <c r="H29" s="275"/>
      <c r="I29" s="317"/>
      <c r="J29" s="280" t="s">
        <v>105</v>
      </c>
      <c r="K29" s="281" t="s">
        <v>106</v>
      </c>
      <c r="L29" s="276"/>
      <c r="M29" s="282">
        <v>0.13</v>
      </c>
      <c r="O29" s="275"/>
      <c r="P29" s="310"/>
      <c r="Q29" s="285" t="s">
        <v>150</v>
      </c>
      <c r="R29" s="281" t="s">
        <v>151</v>
      </c>
      <c r="S29" s="276"/>
      <c r="T29" s="314">
        <v>0.46311350654176214</v>
      </c>
      <c r="U29" s="321">
        <v>0.065</v>
      </c>
    </row>
    <row r="30" spans="1:21" ht="17.25">
      <c r="A30" t="s">
        <v>691</v>
      </c>
      <c r="B30">
        <v>0.04</v>
      </c>
      <c r="C30">
        <v>0</v>
      </c>
      <c r="D30" t="s">
        <v>545</v>
      </c>
      <c r="E30">
        <v>0.83</v>
      </c>
      <c r="F30">
        <v>0</v>
      </c>
      <c r="H30" s="275"/>
      <c r="I30" s="288"/>
      <c r="J30" s="289" t="s">
        <v>111</v>
      </c>
      <c r="K30" s="293" t="s">
        <v>85</v>
      </c>
      <c r="L30" s="290" t="s">
        <v>119</v>
      </c>
      <c r="M30" s="294">
        <v>1.167843710106818</v>
      </c>
      <c r="O30" s="275"/>
      <c r="P30" s="310"/>
      <c r="Q30" s="285" t="s">
        <v>156</v>
      </c>
      <c r="R30" s="281" t="s">
        <v>157</v>
      </c>
      <c r="S30" s="276"/>
      <c r="T30" s="314">
        <v>0.3473351299063216</v>
      </c>
      <c r="U30" s="321">
        <v>0.023</v>
      </c>
    </row>
    <row r="31" spans="1:21" ht="18" thickBot="1">
      <c r="A31" t="s">
        <v>693</v>
      </c>
      <c r="B31">
        <v>0.02</v>
      </c>
      <c r="C31">
        <v>0</v>
      </c>
      <c r="D31" t="s">
        <v>546</v>
      </c>
      <c r="E31">
        <v>0.57</v>
      </c>
      <c r="F31">
        <v>0</v>
      </c>
      <c r="H31" s="275"/>
      <c r="I31" s="295" t="s">
        <v>118</v>
      </c>
      <c r="J31" s="280" t="s">
        <v>89</v>
      </c>
      <c r="K31" s="281" t="s">
        <v>90</v>
      </c>
      <c r="L31" s="276"/>
      <c r="M31" s="282">
        <v>0.828792310398387</v>
      </c>
      <c r="O31" s="296"/>
      <c r="P31" s="310"/>
      <c r="Q31" s="318" t="s">
        <v>158</v>
      </c>
      <c r="R31" s="292" t="s">
        <v>159</v>
      </c>
      <c r="S31" s="276"/>
      <c r="T31" s="322">
        <v>0.2608872753518593</v>
      </c>
      <c r="U31" s="323">
        <v>0.017</v>
      </c>
    </row>
    <row r="32" spans="1:21" ht="17.25">
      <c r="A32" t="s">
        <v>480</v>
      </c>
      <c r="B32">
        <v>0.4</v>
      </c>
      <c r="C32">
        <v>0.08</v>
      </c>
      <c r="D32" t="s">
        <v>547</v>
      </c>
      <c r="E32">
        <v>0.49</v>
      </c>
      <c r="F32">
        <v>0</v>
      </c>
      <c r="H32" s="275"/>
      <c r="I32" s="276"/>
      <c r="J32" s="280" t="s">
        <v>112</v>
      </c>
      <c r="K32" s="281" t="s">
        <v>113</v>
      </c>
      <c r="L32" s="276"/>
      <c r="M32" s="282">
        <v>0.5650856661807184</v>
      </c>
      <c r="O32" s="302"/>
      <c r="P32" s="327"/>
      <c r="Q32" s="328" t="s">
        <v>111</v>
      </c>
      <c r="R32" s="293" t="s">
        <v>85</v>
      </c>
      <c r="S32" s="290" t="s">
        <v>86</v>
      </c>
      <c r="T32" s="329">
        <v>1.3357535578264381</v>
      </c>
      <c r="U32" s="330">
        <v>0.2</v>
      </c>
    </row>
    <row r="33" spans="1:21" ht="17.25">
      <c r="A33" t="s">
        <v>482</v>
      </c>
      <c r="B33">
        <v>0.28</v>
      </c>
      <c r="C33">
        <v>0.052</v>
      </c>
      <c r="D33" t="s">
        <v>548</v>
      </c>
      <c r="E33">
        <v>0.4</v>
      </c>
      <c r="F33">
        <v>0</v>
      </c>
      <c r="H33" s="275"/>
      <c r="I33" s="276"/>
      <c r="J33" s="280" t="s">
        <v>101</v>
      </c>
      <c r="K33" s="281" t="s">
        <v>102</v>
      </c>
      <c r="L33" s="276"/>
      <c r="M33" s="282">
        <v>0.48974091068995595</v>
      </c>
      <c r="O33" s="302"/>
      <c r="P33" s="331"/>
      <c r="Q33" s="285" t="s">
        <v>89</v>
      </c>
      <c r="R33" s="281" t="s">
        <v>132</v>
      </c>
      <c r="S33" s="276"/>
      <c r="T33" s="314">
        <v>1.1951479201604973</v>
      </c>
      <c r="U33" s="316">
        <v>0.2</v>
      </c>
    </row>
    <row r="34" spans="1:21" ht="17.25">
      <c r="A34" t="s">
        <v>474</v>
      </c>
      <c r="B34">
        <v>1.52</v>
      </c>
      <c r="C34">
        <v>0.2</v>
      </c>
      <c r="D34" t="s">
        <v>549</v>
      </c>
      <c r="E34">
        <v>0.33</v>
      </c>
      <c r="F34">
        <v>0</v>
      </c>
      <c r="H34" s="275"/>
      <c r="I34" s="276"/>
      <c r="J34" s="277" t="s">
        <v>114</v>
      </c>
      <c r="K34" s="281" t="s">
        <v>115</v>
      </c>
      <c r="L34" s="276"/>
      <c r="M34" s="282">
        <v>0.3977067965484141</v>
      </c>
      <c r="O34" s="302"/>
      <c r="P34" s="331"/>
      <c r="Q34" s="285" t="s">
        <v>133</v>
      </c>
      <c r="R34" s="281" t="s">
        <v>134</v>
      </c>
      <c r="S34" s="276"/>
      <c r="T34" s="314">
        <v>1.0193908730780712</v>
      </c>
      <c r="U34" s="316">
        <v>0.2</v>
      </c>
    </row>
    <row r="35" spans="1:21" ht="17.25">
      <c r="A35" t="s">
        <v>478</v>
      </c>
      <c r="B35">
        <v>0.6</v>
      </c>
      <c r="C35">
        <v>0.2</v>
      </c>
      <c r="D35" t="s">
        <v>550</v>
      </c>
      <c r="E35">
        <v>0.33</v>
      </c>
      <c r="F35">
        <v>0</v>
      </c>
      <c r="H35" s="275"/>
      <c r="I35" s="276"/>
      <c r="J35" s="280" t="s">
        <v>116</v>
      </c>
      <c r="K35" s="281" t="s">
        <v>117</v>
      </c>
      <c r="L35" s="276"/>
      <c r="M35" s="282">
        <v>0.32539646990324794</v>
      </c>
      <c r="O35" s="302"/>
      <c r="P35" s="332"/>
      <c r="Q35" s="285" t="s">
        <v>160</v>
      </c>
      <c r="R35" s="281" t="s">
        <v>161</v>
      </c>
      <c r="S35" s="276"/>
      <c r="T35" s="314">
        <v>0.7</v>
      </c>
      <c r="U35" s="316">
        <v>0.2</v>
      </c>
    </row>
    <row r="36" spans="1:21" ht="18" thickBot="1">
      <c r="A36" t="s">
        <v>479</v>
      </c>
      <c r="B36">
        <v>0.4</v>
      </c>
      <c r="C36">
        <v>0.08</v>
      </c>
      <c r="D36" t="s">
        <v>551</v>
      </c>
      <c r="E36">
        <v>0.33</v>
      </c>
      <c r="F36">
        <v>0</v>
      </c>
      <c r="H36" s="275"/>
      <c r="I36" s="276"/>
      <c r="J36" s="280" t="s">
        <v>105</v>
      </c>
      <c r="K36" s="281" t="s">
        <v>120</v>
      </c>
      <c r="L36" s="276"/>
      <c r="M36" s="282">
        <v>0.10123445730323269</v>
      </c>
      <c r="O36" s="302"/>
      <c r="P36" s="332"/>
      <c r="Q36" s="285" t="s">
        <v>162</v>
      </c>
      <c r="R36" s="281" t="s">
        <v>163</v>
      </c>
      <c r="S36" s="276"/>
      <c r="T36" s="314">
        <v>0.5</v>
      </c>
      <c r="U36" s="316">
        <v>0.2</v>
      </c>
    </row>
    <row r="37" spans="1:21" ht="17.25">
      <c r="A37" t="s">
        <v>481</v>
      </c>
      <c r="B37">
        <v>0.28</v>
      </c>
      <c r="C37">
        <v>0.052</v>
      </c>
      <c r="D37" t="s">
        <v>552</v>
      </c>
      <c r="E37">
        <v>0.1</v>
      </c>
      <c r="F37">
        <v>0</v>
      </c>
      <c r="H37" s="396"/>
      <c r="I37" s="327"/>
      <c r="J37" s="299" t="s">
        <v>84</v>
      </c>
      <c r="K37" s="300" t="s">
        <v>85</v>
      </c>
      <c r="L37" s="300" t="s">
        <v>86</v>
      </c>
      <c r="M37" s="301">
        <v>2.18</v>
      </c>
      <c r="O37" s="302"/>
      <c r="P37" s="332"/>
      <c r="Q37" s="318" t="s">
        <v>164</v>
      </c>
      <c r="R37" s="281" t="s">
        <v>165</v>
      </c>
      <c r="S37" s="278"/>
      <c r="T37" s="314">
        <v>0.5</v>
      </c>
      <c r="U37" s="316">
        <v>0.2</v>
      </c>
    </row>
    <row r="38" spans="1:21" ht="17.25">
      <c r="A38" t="s">
        <v>475</v>
      </c>
      <c r="B38">
        <v>1.3</v>
      </c>
      <c r="C38">
        <v>0.2</v>
      </c>
      <c r="D38" t="s">
        <v>553</v>
      </c>
      <c r="E38">
        <v>0.1</v>
      </c>
      <c r="F38">
        <v>0</v>
      </c>
      <c r="H38" s="302"/>
      <c r="I38" s="331"/>
      <c r="J38" s="280" t="s">
        <v>87</v>
      </c>
      <c r="K38" s="281" t="s">
        <v>121</v>
      </c>
      <c r="L38" s="276"/>
      <c r="M38" s="282">
        <v>1.2</v>
      </c>
      <c r="O38" s="302"/>
      <c r="P38" s="332"/>
      <c r="Q38" s="285" t="s">
        <v>166</v>
      </c>
      <c r="R38" s="281" t="s">
        <v>167</v>
      </c>
      <c r="S38" s="276"/>
      <c r="T38" s="314">
        <v>0.4</v>
      </c>
      <c r="U38" s="316">
        <v>0.08</v>
      </c>
    </row>
    <row r="39" spans="1:21" ht="18" thickBot="1">
      <c r="A39" t="s">
        <v>476</v>
      </c>
      <c r="B39">
        <v>1.3</v>
      </c>
      <c r="C39">
        <v>0.2</v>
      </c>
      <c r="D39" t="s">
        <v>474</v>
      </c>
      <c r="E39">
        <v>1.52</v>
      </c>
      <c r="F39">
        <v>0.2</v>
      </c>
      <c r="H39" s="302"/>
      <c r="I39" s="331"/>
      <c r="J39" s="280" t="s">
        <v>122</v>
      </c>
      <c r="K39" s="281" t="s">
        <v>123</v>
      </c>
      <c r="L39" s="276"/>
      <c r="M39" s="282">
        <v>0.6</v>
      </c>
      <c r="O39" s="304"/>
      <c r="P39" s="333"/>
      <c r="Q39" s="324" t="s">
        <v>141</v>
      </c>
      <c r="R39" s="325" t="s">
        <v>168</v>
      </c>
      <c r="S39" s="297"/>
      <c r="T39" s="326">
        <v>0.28</v>
      </c>
      <c r="U39" s="334">
        <v>0.052</v>
      </c>
    </row>
    <row r="40" spans="1:13" ht="17.25">
      <c r="A40" t="s">
        <v>477</v>
      </c>
      <c r="B40">
        <v>0.9</v>
      </c>
      <c r="C40">
        <v>0.2</v>
      </c>
      <c r="D40" t="s">
        <v>475</v>
      </c>
      <c r="E40">
        <v>1.3</v>
      </c>
      <c r="F40">
        <v>0.2</v>
      </c>
      <c r="H40" s="302"/>
      <c r="I40" s="331"/>
      <c r="J40" s="280" t="s">
        <v>124</v>
      </c>
      <c r="K40" s="281" t="s">
        <v>125</v>
      </c>
      <c r="L40" s="276"/>
      <c r="M40" s="282">
        <v>0.25</v>
      </c>
    </row>
    <row r="41" spans="1:13" ht="17.25">
      <c r="A41" t="s">
        <v>719</v>
      </c>
      <c r="B41">
        <v>0.2</v>
      </c>
      <c r="C41">
        <v>0</v>
      </c>
      <c r="D41" t="s">
        <v>476</v>
      </c>
      <c r="E41">
        <v>1.3</v>
      </c>
      <c r="F41">
        <v>0.2</v>
      </c>
      <c r="H41" s="302"/>
      <c r="I41" s="332"/>
      <c r="J41" s="283" t="s">
        <v>95</v>
      </c>
      <c r="K41" s="278" t="s">
        <v>126</v>
      </c>
      <c r="L41" s="276"/>
      <c r="M41" s="298">
        <v>0.08</v>
      </c>
    </row>
    <row r="42" spans="1:13" ht="17.25">
      <c r="A42" t="s">
        <v>720</v>
      </c>
      <c r="B42">
        <v>0.2</v>
      </c>
      <c r="C42">
        <v>0</v>
      </c>
      <c r="D42" t="s">
        <v>477</v>
      </c>
      <c r="E42">
        <v>0.9</v>
      </c>
      <c r="F42">
        <v>0.2</v>
      </c>
      <c r="H42" s="302"/>
      <c r="I42" s="332"/>
      <c r="J42" s="277"/>
      <c r="K42" s="281" t="s">
        <v>127</v>
      </c>
      <c r="L42" s="276"/>
      <c r="M42" s="282">
        <v>0.06</v>
      </c>
    </row>
    <row r="43" spans="1:13" ht="17.25">
      <c r="A43" t="s">
        <v>721</v>
      </c>
      <c r="B43">
        <v>0.065</v>
      </c>
      <c r="C43">
        <v>0</v>
      </c>
      <c r="D43" t="s">
        <v>478</v>
      </c>
      <c r="E43">
        <v>0.6</v>
      </c>
      <c r="F43">
        <v>0.2</v>
      </c>
      <c r="H43" s="302"/>
      <c r="I43" s="332"/>
      <c r="J43" s="277"/>
      <c r="K43" s="281" t="s">
        <v>128</v>
      </c>
      <c r="L43" s="276"/>
      <c r="M43" s="282">
        <v>0.04</v>
      </c>
    </row>
    <row r="44" spans="1:13" ht="18" thickBot="1">
      <c r="A44" t="s">
        <v>711</v>
      </c>
      <c r="B44" t="s">
        <v>687</v>
      </c>
      <c r="C44">
        <v>0</v>
      </c>
      <c r="D44" t="s">
        <v>479</v>
      </c>
      <c r="E44">
        <v>0.4</v>
      </c>
      <c r="F44">
        <v>0.08</v>
      </c>
      <c r="H44" s="304"/>
      <c r="I44" s="333"/>
      <c r="J44" s="305"/>
      <c r="K44" s="306" t="s">
        <v>129</v>
      </c>
      <c r="L44" s="297"/>
      <c r="M44" s="307">
        <v>0.02</v>
      </c>
    </row>
    <row r="45" spans="1:6" ht="17.25">
      <c r="A45" t="s">
        <v>712</v>
      </c>
      <c r="B45">
        <v>0.6</v>
      </c>
      <c r="C45">
        <v>0</v>
      </c>
      <c r="D45" t="s">
        <v>480</v>
      </c>
      <c r="E45">
        <v>0.4</v>
      </c>
      <c r="F45">
        <v>0.08</v>
      </c>
    </row>
    <row r="46" spans="1:6" ht="17.25">
      <c r="A46" t="s">
        <v>716</v>
      </c>
      <c r="B46">
        <v>0.35</v>
      </c>
      <c r="C46">
        <v>0</v>
      </c>
      <c r="D46" t="s">
        <v>481</v>
      </c>
      <c r="E46">
        <v>0.28</v>
      </c>
      <c r="F46">
        <v>0.052</v>
      </c>
    </row>
    <row r="47" spans="1:6" ht="17.25">
      <c r="A47" t="s">
        <v>717</v>
      </c>
      <c r="B47">
        <v>0.35</v>
      </c>
      <c r="C47">
        <v>0</v>
      </c>
      <c r="D47" t="s">
        <v>482</v>
      </c>
      <c r="E47">
        <v>0.28</v>
      </c>
      <c r="F47">
        <v>0.052</v>
      </c>
    </row>
    <row r="48" spans="1:6" ht="17.25">
      <c r="A48" t="s">
        <v>718</v>
      </c>
      <c r="B48">
        <v>0.35</v>
      </c>
      <c r="C48">
        <v>0</v>
      </c>
      <c r="D48" t="s">
        <v>483</v>
      </c>
      <c r="E48">
        <v>2.53</v>
      </c>
      <c r="F48">
        <v>0.25</v>
      </c>
    </row>
    <row r="49" spans="1:6" ht="17.25">
      <c r="A49" t="s">
        <v>722</v>
      </c>
      <c r="B49">
        <v>0.245</v>
      </c>
      <c r="C49">
        <v>0</v>
      </c>
      <c r="D49" t="s">
        <v>484</v>
      </c>
      <c r="E49">
        <v>2.16</v>
      </c>
      <c r="F49">
        <v>0.25</v>
      </c>
    </row>
    <row r="50" spans="1:6" ht="17.25">
      <c r="A50" t="s">
        <v>713</v>
      </c>
      <c r="B50">
        <v>0.4</v>
      </c>
      <c r="C50">
        <v>0</v>
      </c>
      <c r="D50" t="s">
        <v>485</v>
      </c>
      <c r="E50">
        <v>2.16</v>
      </c>
      <c r="F50">
        <v>0.25</v>
      </c>
    </row>
    <row r="51" spans="1:6" ht="17.25">
      <c r="A51" t="s">
        <v>766</v>
      </c>
      <c r="B51">
        <v>0.065</v>
      </c>
      <c r="C51">
        <v>0</v>
      </c>
      <c r="D51" t="s">
        <v>486</v>
      </c>
      <c r="E51">
        <v>1.93</v>
      </c>
      <c r="F51">
        <v>0.25</v>
      </c>
    </row>
    <row r="52" spans="1:6" ht="17.25">
      <c r="A52" t="s">
        <v>775</v>
      </c>
      <c r="B52">
        <v>0.3</v>
      </c>
      <c r="C52">
        <v>0</v>
      </c>
      <c r="D52" t="s">
        <v>487</v>
      </c>
      <c r="E52">
        <v>1.3</v>
      </c>
      <c r="F52">
        <v>0.25</v>
      </c>
    </row>
    <row r="53" spans="1:6" ht="17.25">
      <c r="A53" t="s">
        <v>715</v>
      </c>
      <c r="B53">
        <v>0.35</v>
      </c>
      <c r="C53">
        <v>0</v>
      </c>
      <c r="D53" t="s">
        <v>488</v>
      </c>
      <c r="E53">
        <v>0.7</v>
      </c>
      <c r="F53">
        <v>0.09</v>
      </c>
    </row>
    <row r="54" spans="1:6" ht="17.25">
      <c r="A54" t="s">
        <v>714</v>
      </c>
      <c r="B54">
        <v>0.35</v>
      </c>
      <c r="C54">
        <v>0</v>
      </c>
      <c r="D54" t="s">
        <v>489</v>
      </c>
      <c r="E54">
        <v>0.7</v>
      </c>
      <c r="F54">
        <v>0.09</v>
      </c>
    </row>
    <row r="55" spans="1:6" ht="17.25">
      <c r="A55" t="s">
        <v>767</v>
      </c>
      <c r="B55">
        <v>0.024375</v>
      </c>
      <c r="C55">
        <v>0</v>
      </c>
      <c r="D55" t="s">
        <v>490</v>
      </c>
      <c r="E55">
        <v>0.7</v>
      </c>
      <c r="F55">
        <v>0.09</v>
      </c>
    </row>
    <row r="56" spans="1:6" ht="17.25">
      <c r="A56" t="s">
        <v>765</v>
      </c>
      <c r="B56">
        <v>0.0325</v>
      </c>
      <c r="C56">
        <v>0</v>
      </c>
      <c r="D56" t="s">
        <v>491</v>
      </c>
      <c r="E56">
        <v>0.7</v>
      </c>
      <c r="F56">
        <v>0.09</v>
      </c>
    </row>
    <row r="57" spans="1:6" ht="17.25">
      <c r="A57" t="s">
        <v>531</v>
      </c>
      <c r="B57">
        <v>0.4</v>
      </c>
      <c r="C57">
        <v>0</v>
      </c>
      <c r="D57" t="s">
        <v>492</v>
      </c>
      <c r="E57">
        <v>0.49</v>
      </c>
      <c r="F57">
        <v>0.06</v>
      </c>
    </row>
    <row r="58" spans="1:6" ht="17.25">
      <c r="A58" t="s">
        <v>532</v>
      </c>
      <c r="B58">
        <v>0.4</v>
      </c>
      <c r="C58">
        <v>0</v>
      </c>
      <c r="D58" t="s">
        <v>493</v>
      </c>
      <c r="E58">
        <v>0.49</v>
      </c>
      <c r="F58">
        <v>0.06</v>
      </c>
    </row>
    <row r="59" spans="1:6" ht="17.25">
      <c r="A59" t="s">
        <v>534</v>
      </c>
      <c r="B59">
        <v>0.13</v>
      </c>
      <c r="C59">
        <v>0</v>
      </c>
      <c r="D59" t="s">
        <v>494</v>
      </c>
      <c r="E59">
        <v>2.53</v>
      </c>
      <c r="F59">
        <v>0.25</v>
      </c>
    </row>
    <row r="60" spans="1:6" ht="17.25">
      <c r="A60" t="s">
        <v>527</v>
      </c>
      <c r="B60">
        <v>1.8</v>
      </c>
      <c r="C60">
        <v>0</v>
      </c>
      <c r="D60" t="s">
        <v>495</v>
      </c>
      <c r="E60">
        <v>2.16</v>
      </c>
      <c r="F60">
        <v>0.25</v>
      </c>
    </row>
    <row r="61" spans="1:6" ht="17.25">
      <c r="A61" t="s">
        <v>533</v>
      </c>
      <c r="B61">
        <v>0.4</v>
      </c>
      <c r="C61">
        <v>0</v>
      </c>
      <c r="D61" t="s">
        <v>496</v>
      </c>
      <c r="E61">
        <v>2.16</v>
      </c>
      <c r="F61">
        <v>0.25</v>
      </c>
    </row>
    <row r="62" spans="1:6" ht="17.25">
      <c r="A62" t="s">
        <v>535</v>
      </c>
      <c r="B62">
        <v>0.13</v>
      </c>
      <c r="C62">
        <v>0</v>
      </c>
      <c r="D62" t="s">
        <v>497</v>
      </c>
      <c r="E62">
        <v>1.93</v>
      </c>
      <c r="F62">
        <v>0.25</v>
      </c>
    </row>
    <row r="63" spans="1:6" ht="17.25">
      <c r="A63" t="s">
        <v>528</v>
      </c>
      <c r="B63">
        <v>1.2</v>
      </c>
      <c r="C63">
        <v>0</v>
      </c>
      <c r="D63" t="s">
        <v>498</v>
      </c>
      <c r="E63">
        <v>1.93</v>
      </c>
      <c r="F63">
        <v>0.25</v>
      </c>
    </row>
    <row r="64" spans="1:6" ht="17.25">
      <c r="A64" t="s">
        <v>529</v>
      </c>
      <c r="B64">
        <v>0.9</v>
      </c>
      <c r="C64">
        <v>0</v>
      </c>
      <c r="D64" t="s">
        <v>501</v>
      </c>
      <c r="E64">
        <v>1.3</v>
      </c>
      <c r="F64">
        <v>0.25</v>
      </c>
    </row>
    <row r="65" spans="1:6" ht="17.25">
      <c r="A65" t="s">
        <v>696</v>
      </c>
      <c r="B65">
        <v>0.07</v>
      </c>
      <c r="C65">
        <v>0</v>
      </c>
      <c r="D65" t="s">
        <v>500</v>
      </c>
      <c r="E65">
        <v>0.7</v>
      </c>
      <c r="F65">
        <v>0.09</v>
      </c>
    </row>
    <row r="66" spans="1:6" ht="17.25">
      <c r="A66" t="s">
        <v>530</v>
      </c>
      <c r="B66">
        <v>0.7</v>
      </c>
      <c r="C66">
        <v>0</v>
      </c>
      <c r="D66" t="s">
        <v>503</v>
      </c>
      <c r="E66">
        <v>0.7</v>
      </c>
      <c r="F66">
        <v>0.09</v>
      </c>
    </row>
    <row r="67" spans="1:6" ht="17.25">
      <c r="A67" t="s">
        <v>694</v>
      </c>
      <c r="B67">
        <v>0.1</v>
      </c>
      <c r="C67">
        <v>0</v>
      </c>
      <c r="D67" t="s">
        <v>502</v>
      </c>
      <c r="E67">
        <v>0.49</v>
      </c>
      <c r="F67">
        <v>0.06</v>
      </c>
    </row>
    <row r="68" spans="1:6" ht="17.25">
      <c r="A68" t="s">
        <v>698</v>
      </c>
      <c r="B68">
        <v>0.03</v>
      </c>
      <c r="C68">
        <v>0</v>
      </c>
      <c r="D68" t="s">
        <v>504</v>
      </c>
      <c r="E68">
        <v>0.49</v>
      </c>
      <c r="F68">
        <v>0.06</v>
      </c>
    </row>
    <row r="69" spans="1:6" ht="17.25">
      <c r="A69" t="s">
        <v>695</v>
      </c>
      <c r="B69">
        <v>0.1</v>
      </c>
      <c r="C69">
        <v>0</v>
      </c>
      <c r="D69" t="s">
        <v>505</v>
      </c>
      <c r="E69">
        <v>0.75</v>
      </c>
      <c r="F69">
        <v>0.065</v>
      </c>
    </row>
    <row r="70" spans="1:6" ht="17.25">
      <c r="A70" t="s">
        <v>697</v>
      </c>
      <c r="B70">
        <v>0.07</v>
      </c>
      <c r="C70">
        <v>0</v>
      </c>
      <c r="D70" t="s">
        <v>506</v>
      </c>
      <c r="E70">
        <v>0.65</v>
      </c>
      <c r="F70">
        <v>0.065</v>
      </c>
    </row>
    <row r="71" spans="1:6" ht="17.25">
      <c r="A71" t="s">
        <v>699</v>
      </c>
      <c r="B71">
        <v>0.03</v>
      </c>
      <c r="C71">
        <v>0</v>
      </c>
      <c r="D71" t="s">
        <v>507</v>
      </c>
      <c r="E71">
        <v>0.65</v>
      </c>
      <c r="F71">
        <v>0.065</v>
      </c>
    </row>
    <row r="72" spans="1:6" ht="17.25">
      <c r="A72" t="s">
        <v>489</v>
      </c>
      <c r="B72">
        <v>0.7</v>
      </c>
      <c r="C72">
        <v>0.09</v>
      </c>
      <c r="D72" t="s">
        <v>508</v>
      </c>
      <c r="E72">
        <v>0.56</v>
      </c>
      <c r="F72">
        <v>0.065</v>
      </c>
    </row>
    <row r="73" spans="1:6" ht="17.25">
      <c r="A73" t="s">
        <v>491</v>
      </c>
      <c r="B73">
        <v>0.7</v>
      </c>
      <c r="C73">
        <v>0.09</v>
      </c>
      <c r="D73" t="s">
        <v>509</v>
      </c>
      <c r="E73">
        <v>0.56</v>
      </c>
      <c r="F73">
        <v>0.065</v>
      </c>
    </row>
    <row r="74" spans="1:6" ht="17.25">
      <c r="A74" t="s">
        <v>493</v>
      </c>
      <c r="B74">
        <v>0.49</v>
      </c>
      <c r="C74">
        <v>0.06</v>
      </c>
      <c r="D74" t="s">
        <v>510</v>
      </c>
      <c r="E74">
        <v>0.46</v>
      </c>
      <c r="F74">
        <v>0.065</v>
      </c>
    </row>
    <row r="75" spans="1:6" ht="17.25">
      <c r="A75" t="s">
        <v>483</v>
      </c>
      <c r="B75">
        <v>2.53</v>
      </c>
      <c r="C75">
        <v>0.25</v>
      </c>
      <c r="D75" t="s">
        <v>511</v>
      </c>
      <c r="E75">
        <v>0.35</v>
      </c>
      <c r="F75">
        <v>0.023</v>
      </c>
    </row>
    <row r="76" spans="1:6" ht="17.25">
      <c r="A76" t="s">
        <v>487</v>
      </c>
      <c r="B76">
        <v>1.3</v>
      </c>
      <c r="C76">
        <v>0.25</v>
      </c>
      <c r="D76" t="s">
        <v>512</v>
      </c>
      <c r="E76">
        <v>0.35</v>
      </c>
      <c r="F76">
        <v>0.023</v>
      </c>
    </row>
    <row r="77" spans="1:6" ht="17.25">
      <c r="A77" t="s">
        <v>488</v>
      </c>
      <c r="B77">
        <v>0.7</v>
      </c>
      <c r="C77">
        <v>0.09</v>
      </c>
      <c r="D77" t="s">
        <v>513</v>
      </c>
      <c r="E77">
        <v>0.35</v>
      </c>
      <c r="F77">
        <v>0.023</v>
      </c>
    </row>
    <row r="78" spans="1:6" ht="17.25">
      <c r="A78" t="s">
        <v>490</v>
      </c>
      <c r="B78">
        <v>0.7</v>
      </c>
      <c r="C78">
        <v>0.09</v>
      </c>
      <c r="D78" t="s">
        <v>514</v>
      </c>
      <c r="E78">
        <v>0.35</v>
      </c>
      <c r="F78">
        <v>0.023</v>
      </c>
    </row>
    <row r="79" spans="1:6" ht="17.25">
      <c r="A79" t="s">
        <v>492</v>
      </c>
      <c r="B79">
        <v>0.49</v>
      </c>
      <c r="C79">
        <v>0.06</v>
      </c>
      <c r="D79" t="s">
        <v>515</v>
      </c>
      <c r="E79">
        <v>0.26</v>
      </c>
      <c r="F79">
        <v>0.017</v>
      </c>
    </row>
    <row r="80" spans="1:6" ht="17.25">
      <c r="A80" t="s">
        <v>484</v>
      </c>
      <c r="B80">
        <v>2.16</v>
      </c>
      <c r="C80">
        <v>0.25</v>
      </c>
      <c r="D80" t="s">
        <v>516</v>
      </c>
      <c r="E80">
        <v>0.26</v>
      </c>
      <c r="F80">
        <v>0.017</v>
      </c>
    </row>
    <row r="81" spans="1:6" ht="17.25">
      <c r="A81" t="s">
        <v>485</v>
      </c>
      <c r="B81">
        <v>2.16</v>
      </c>
      <c r="C81">
        <v>0.25</v>
      </c>
      <c r="D81" t="s">
        <v>517</v>
      </c>
      <c r="E81">
        <v>0.26</v>
      </c>
      <c r="F81">
        <v>0.017</v>
      </c>
    </row>
    <row r="82" spans="1:6" ht="17.25">
      <c r="A82" t="s">
        <v>486</v>
      </c>
      <c r="B82">
        <v>1.93</v>
      </c>
      <c r="C82">
        <v>0.25</v>
      </c>
      <c r="D82" t="s">
        <v>518</v>
      </c>
      <c r="E82">
        <v>0.26</v>
      </c>
      <c r="F82">
        <v>0.017</v>
      </c>
    </row>
    <row r="83" spans="1:6" ht="17.25">
      <c r="A83" t="s">
        <v>730</v>
      </c>
      <c r="B83">
        <v>0.2</v>
      </c>
      <c r="C83">
        <v>0</v>
      </c>
      <c r="D83" t="s">
        <v>596</v>
      </c>
      <c r="E83">
        <v>1.2</v>
      </c>
      <c r="F83">
        <v>0</v>
      </c>
    </row>
    <row r="84" spans="1:6" ht="17.25">
      <c r="A84" t="s">
        <v>731</v>
      </c>
      <c r="B84">
        <v>0.2</v>
      </c>
      <c r="C84">
        <v>0</v>
      </c>
      <c r="D84" t="s">
        <v>597</v>
      </c>
      <c r="E84">
        <v>0.6</v>
      </c>
      <c r="F84">
        <v>0</v>
      </c>
    </row>
    <row r="85" spans="1:6" ht="17.25">
      <c r="A85" t="s">
        <v>732</v>
      </c>
      <c r="B85">
        <v>0.065</v>
      </c>
      <c r="C85">
        <v>0</v>
      </c>
      <c r="D85" t="s">
        <v>598</v>
      </c>
      <c r="E85">
        <v>0.6</v>
      </c>
      <c r="F85">
        <v>0</v>
      </c>
    </row>
    <row r="86" spans="1:6" ht="17.25">
      <c r="A86" t="s">
        <v>723</v>
      </c>
      <c r="B86">
        <v>0.6</v>
      </c>
      <c r="C86">
        <v>0</v>
      </c>
      <c r="D86" t="s">
        <v>599</v>
      </c>
      <c r="E86">
        <v>0.25</v>
      </c>
      <c r="F86">
        <v>0</v>
      </c>
    </row>
    <row r="87" spans="1:6" ht="17.25">
      <c r="A87" t="s">
        <v>727</v>
      </c>
      <c r="B87">
        <v>0.35</v>
      </c>
      <c r="C87">
        <v>0</v>
      </c>
      <c r="D87" t="s">
        <v>600</v>
      </c>
      <c r="E87">
        <v>0.25</v>
      </c>
      <c r="F87">
        <v>0</v>
      </c>
    </row>
    <row r="88" spans="1:6" ht="17.25">
      <c r="A88" t="s">
        <v>728</v>
      </c>
      <c r="B88">
        <v>0.35</v>
      </c>
      <c r="C88">
        <v>0</v>
      </c>
      <c r="D88" t="s">
        <v>602</v>
      </c>
      <c r="E88">
        <v>0.25</v>
      </c>
      <c r="F88">
        <v>0</v>
      </c>
    </row>
    <row r="89" spans="1:6" ht="17.25">
      <c r="A89" t="s">
        <v>733</v>
      </c>
      <c r="B89">
        <v>0.245</v>
      </c>
      <c r="C89">
        <v>0</v>
      </c>
      <c r="D89" t="s">
        <v>601</v>
      </c>
      <c r="E89">
        <v>0.08</v>
      </c>
      <c r="F89">
        <v>0</v>
      </c>
    </row>
    <row r="90" spans="1:6" ht="17.25">
      <c r="A90" t="s">
        <v>770</v>
      </c>
      <c r="B90">
        <v>0.065</v>
      </c>
      <c r="C90">
        <v>0</v>
      </c>
      <c r="D90" t="s">
        <v>603</v>
      </c>
      <c r="E90">
        <v>0.08</v>
      </c>
      <c r="F90">
        <v>0</v>
      </c>
    </row>
    <row r="91" spans="1:6" ht="17.25">
      <c r="A91" t="s">
        <v>724</v>
      </c>
      <c r="B91">
        <v>0.45</v>
      </c>
      <c r="C91">
        <v>0</v>
      </c>
      <c r="D91" t="s">
        <v>605</v>
      </c>
      <c r="E91">
        <v>0.06</v>
      </c>
      <c r="F91">
        <v>0</v>
      </c>
    </row>
    <row r="92" spans="1:6" ht="17.25">
      <c r="A92" t="s">
        <v>776</v>
      </c>
      <c r="B92">
        <v>0.32</v>
      </c>
      <c r="C92">
        <v>0</v>
      </c>
      <c r="D92" t="s">
        <v>606</v>
      </c>
      <c r="E92">
        <v>0.06</v>
      </c>
      <c r="F92">
        <v>0</v>
      </c>
    </row>
    <row r="93" spans="1:6" ht="17.25">
      <c r="A93" t="s">
        <v>768</v>
      </c>
      <c r="B93">
        <v>0.35</v>
      </c>
      <c r="C93">
        <v>0</v>
      </c>
      <c r="D93" t="s">
        <v>604</v>
      </c>
      <c r="E93">
        <v>0.04</v>
      </c>
      <c r="F93">
        <v>0</v>
      </c>
    </row>
    <row r="94" spans="1:6" ht="17.25">
      <c r="A94" t="s">
        <v>725</v>
      </c>
      <c r="B94">
        <v>0.35</v>
      </c>
      <c r="C94">
        <v>0</v>
      </c>
      <c r="D94" t="s">
        <v>608</v>
      </c>
      <c r="E94">
        <v>0.04</v>
      </c>
      <c r="F94">
        <v>0</v>
      </c>
    </row>
    <row r="95" spans="1:6" ht="17.25">
      <c r="A95" t="s">
        <v>771</v>
      </c>
      <c r="B95">
        <v>0.024375</v>
      </c>
      <c r="C95">
        <v>0</v>
      </c>
      <c r="D95" t="s">
        <v>607</v>
      </c>
      <c r="E95">
        <v>0.02</v>
      </c>
      <c r="F95">
        <v>0</v>
      </c>
    </row>
    <row r="96" spans="1:6" ht="17.25">
      <c r="A96" t="s">
        <v>726</v>
      </c>
      <c r="B96">
        <v>0.35</v>
      </c>
      <c r="C96">
        <v>0</v>
      </c>
      <c r="D96" t="s">
        <v>609</v>
      </c>
      <c r="E96">
        <v>0.2</v>
      </c>
      <c r="F96">
        <v>0</v>
      </c>
    </row>
    <row r="97" spans="1:6" ht="17.25">
      <c r="A97" t="s">
        <v>769</v>
      </c>
      <c r="B97">
        <v>0.0325</v>
      </c>
      <c r="C97">
        <v>0</v>
      </c>
      <c r="D97" t="s">
        <v>611</v>
      </c>
      <c r="E97">
        <v>1.2</v>
      </c>
      <c r="F97">
        <v>0.2</v>
      </c>
    </row>
    <row r="98" spans="1:6" ht="17.25">
      <c r="A98" t="s">
        <v>729</v>
      </c>
      <c r="B98">
        <v>0.25</v>
      </c>
      <c r="C98">
        <v>0</v>
      </c>
      <c r="D98" t="s">
        <v>613</v>
      </c>
      <c r="E98">
        <v>1.02</v>
      </c>
      <c r="F98">
        <v>0.2</v>
      </c>
    </row>
    <row r="99" spans="1:6" ht="17.25">
      <c r="A99" t="s">
        <v>540</v>
      </c>
      <c r="B99">
        <v>0.4</v>
      </c>
      <c r="C99">
        <v>0</v>
      </c>
      <c r="D99" t="s">
        <v>615</v>
      </c>
      <c r="E99">
        <v>1.02</v>
      </c>
      <c r="F99">
        <v>0.2</v>
      </c>
    </row>
    <row r="100" spans="1:6" ht="17.25">
      <c r="A100" t="s">
        <v>541</v>
      </c>
      <c r="B100">
        <v>0.4</v>
      </c>
      <c r="C100">
        <v>0</v>
      </c>
      <c r="D100" t="s">
        <v>617</v>
      </c>
      <c r="E100">
        <v>0.7</v>
      </c>
      <c r="F100">
        <v>0.2</v>
      </c>
    </row>
    <row r="101" spans="1:6" ht="17.25">
      <c r="A101" t="s">
        <v>543</v>
      </c>
      <c r="B101">
        <v>0.13</v>
      </c>
      <c r="C101">
        <v>0</v>
      </c>
      <c r="D101" t="s">
        <v>618</v>
      </c>
      <c r="E101">
        <v>0.5</v>
      </c>
      <c r="F101">
        <v>0.2</v>
      </c>
    </row>
    <row r="102" spans="1:6" ht="17.25">
      <c r="A102" t="s">
        <v>542</v>
      </c>
      <c r="B102">
        <v>0.4</v>
      </c>
      <c r="C102">
        <v>0</v>
      </c>
      <c r="D102" t="s">
        <v>620</v>
      </c>
      <c r="E102">
        <v>0.5</v>
      </c>
      <c r="F102">
        <v>0.2</v>
      </c>
    </row>
    <row r="103" spans="1:6" ht="17.25">
      <c r="A103" t="s">
        <v>544</v>
      </c>
      <c r="B103">
        <v>0.13</v>
      </c>
      <c r="C103">
        <v>0</v>
      </c>
      <c r="D103" t="s">
        <v>619</v>
      </c>
      <c r="E103">
        <v>0.5</v>
      </c>
      <c r="F103">
        <v>0.2</v>
      </c>
    </row>
    <row r="104" spans="1:6" ht="17.25">
      <c r="A104" t="s">
        <v>536</v>
      </c>
      <c r="B104">
        <v>1.2</v>
      </c>
      <c r="C104">
        <v>0</v>
      </c>
      <c r="D104" t="s">
        <v>621</v>
      </c>
      <c r="E104">
        <v>0.4</v>
      </c>
      <c r="F104">
        <v>0.08</v>
      </c>
    </row>
    <row r="105" spans="1:6" ht="17.25">
      <c r="A105" t="s">
        <v>537</v>
      </c>
      <c r="B105">
        <v>0.9</v>
      </c>
      <c r="C105">
        <v>0</v>
      </c>
      <c r="D105" t="s">
        <v>610</v>
      </c>
      <c r="E105">
        <v>0.4</v>
      </c>
      <c r="F105">
        <v>0.08</v>
      </c>
    </row>
    <row r="106" spans="1:6" ht="17.25">
      <c r="A106" t="s">
        <v>538</v>
      </c>
      <c r="B106">
        <v>0.7</v>
      </c>
      <c r="C106">
        <v>0</v>
      </c>
      <c r="D106" t="s">
        <v>622</v>
      </c>
      <c r="E106">
        <v>0.4</v>
      </c>
      <c r="F106">
        <v>0.08</v>
      </c>
    </row>
    <row r="107" spans="1:6" ht="17.25">
      <c r="A107" t="s">
        <v>539</v>
      </c>
      <c r="B107">
        <v>0.49</v>
      </c>
      <c r="C107">
        <v>0</v>
      </c>
      <c r="D107" t="s">
        <v>612</v>
      </c>
      <c r="E107">
        <v>0.4</v>
      </c>
      <c r="F107">
        <v>0.08</v>
      </c>
    </row>
    <row r="108" spans="1:6" ht="17.25">
      <c r="A108" t="s">
        <v>503</v>
      </c>
      <c r="B108">
        <v>0.7</v>
      </c>
      <c r="C108">
        <v>0.09</v>
      </c>
      <c r="D108" t="s">
        <v>623</v>
      </c>
      <c r="E108">
        <v>0.28</v>
      </c>
      <c r="F108">
        <v>0.052</v>
      </c>
    </row>
    <row r="109" spans="1:6" ht="17.25">
      <c r="A109" t="s">
        <v>504</v>
      </c>
      <c r="B109">
        <v>0.49</v>
      </c>
      <c r="C109">
        <v>0.06</v>
      </c>
      <c r="D109" t="s">
        <v>614</v>
      </c>
      <c r="E109">
        <v>0.28</v>
      </c>
      <c r="F109">
        <v>0.052</v>
      </c>
    </row>
    <row r="110" spans="1:6" ht="17.25">
      <c r="A110" t="s">
        <v>494</v>
      </c>
      <c r="B110">
        <v>2.53</v>
      </c>
      <c r="C110">
        <v>0.25</v>
      </c>
      <c r="D110" t="s">
        <v>624</v>
      </c>
      <c r="E110">
        <v>0.28</v>
      </c>
      <c r="F110">
        <v>0.052</v>
      </c>
    </row>
    <row r="111" spans="1:6" ht="17.25">
      <c r="A111" t="s">
        <v>501</v>
      </c>
      <c r="B111">
        <v>1.3</v>
      </c>
      <c r="C111">
        <v>0.25</v>
      </c>
      <c r="D111" t="s">
        <v>616</v>
      </c>
      <c r="E111">
        <v>0.28</v>
      </c>
      <c r="F111">
        <v>0.052</v>
      </c>
    </row>
    <row r="112" spans="1:6" ht="17.25">
      <c r="A112" t="s">
        <v>500</v>
      </c>
      <c r="B112">
        <v>0.7</v>
      </c>
      <c r="C112">
        <v>0.09</v>
      </c>
      <c r="D112" t="s">
        <v>627</v>
      </c>
      <c r="E112">
        <v>0</v>
      </c>
      <c r="F112">
        <v>0</v>
      </c>
    </row>
    <row r="113" spans="1:6" ht="17.25">
      <c r="A113" t="s">
        <v>502</v>
      </c>
      <c r="B113">
        <v>0.49</v>
      </c>
      <c r="C113">
        <v>0.06</v>
      </c>
      <c r="D113" t="s">
        <v>701</v>
      </c>
      <c r="E113" t="s">
        <v>687</v>
      </c>
      <c r="F113">
        <v>0</v>
      </c>
    </row>
    <row r="114" spans="1:6" ht="17.25">
      <c r="A114" t="s">
        <v>495</v>
      </c>
      <c r="B114">
        <v>2.16</v>
      </c>
      <c r="C114">
        <v>0.25</v>
      </c>
      <c r="D114" t="s">
        <v>702</v>
      </c>
      <c r="E114">
        <v>0.5</v>
      </c>
      <c r="F114">
        <v>0</v>
      </c>
    </row>
    <row r="115" spans="1:6" ht="17.25">
      <c r="A115" t="s">
        <v>496</v>
      </c>
      <c r="B115">
        <v>2.16</v>
      </c>
      <c r="C115">
        <v>0.25</v>
      </c>
      <c r="D115" t="s">
        <v>703</v>
      </c>
      <c r="E115">
        <v>0.3</v>
      </c>
      <c r="F115">
        <v>0</v>
      </c>
    </row>
    <row r="116" spans="1:6" ht="17.25">
      <c r="A116" t="s">
        <v>497</v>
      </c>
      <c r="B116">
        <v>1.93</v>
      </c>
      <c r="C116">
        <v>0.25</v>
      </c>
      <c r="D116" t="s">
        <v>704</v>
      </c>
      <c r="E116">
        <v>0.12</v>
      </c>
      <c r="F116">
        <v>0</v>
      </c>
    </row>
    <row r="117" spans="1:6" ht="17.25">
      <c r="A117" t="s">
        <v>498</v>
      </c>
      <c r="B117">
        <v>1.93</v>
      </c>
      <c r="C117">
        <v>0.25</v>
      </c>
      <c r="D117" t="s">
        <v>705</v>
      </c>
      <c r="E117">
        <v>0.0625</v>
      </c>
      <c r="F117">
        <v>0</v>
      </c>
    </row>
    <row r="118" spans="1:6" ht="17.25">
      <c r="A118" t="s">
        <v>738</v>
      </c>
      <c r="B118">
        <v>0.165</v>
      </c>
      <c r="C118">
        <v>0</v>
      </c>
      <c r="D118" t="s">
        <v>706</v>
      </c>
      <c r="E118">
        <v>0.12</v>
      </c>
      <c r="F118">
        <v>0</v>
      </c>
    </row>
    <row r="119" spans="1:6" ht="17.25">
      <c r="A119" t="s">
        <v>739</v>
      </c>
      <c r="B119">
        <v>0.165</v>
      </c>
      <c r="C119">
        <v>0</v>
      </c>
      <c r="D119" t="s">
        <v>707</v>
      </c>
      <c r="E119">
        <v>0.12</v>
      </c>
      <c r="F119">
        <v>0</v>
      </c>
    </row>
    <row r="120" spans="1:6" ht="17.25">
      <c r="A120" t="s">
        <v>740</v>
      </c>
      <c r="B120">
        <v>0.05</v>
      </c>
      <c r="C120">
        <v>0</v>
      </c>
      <c r="D120" t="s">
        <v>708</v>
      </c>
      <c r="E120">
        <v>0.12</v>
      </c>
      <c r="F120">
        <v>0</v>
      </c>
    </row>
    <row r="121" spans="1:6" ht="17.25">
      <c r="A121" t="s">
        <v>734</v>
      </c>
      <c r="B121" t="s">
        <v>687</v>
      </c>
      <c r="C121">
        <v>0</v>
      </c>
      <c r="D121" t="s">
        <v>709</v>
      </c>
      <c r="E121">
        <v>0.04</v>
      </c>
      <c r="F121">
        <v>0</v>
      </c>
    </row>
    <row r="122" spans="1:6" ht="17.25">
      <c r="A122" t="s">
        <v>741</v>
      </c>
      <c r="B122">
        <v>0.38</v>
      </c>
      <c r="C122">
        <v>0</v>
      </c>
      <c r="D122" t="s">
        <v>762</v>
      </c>
      <c r="E122">
        <v>0.02</v>
      </c>
      <c r="F122">
        <v>0</v>
      </c>
    </row>
    <row r="123" spans="1:6" ht="17.25">
      <c r="A123" t="s">
        <v>746</v>
      </c>
      <c r="B123">
        <v>0.23</v>
      </c>
      <c r="C123">
        <v>0</v>
      </c>
      <c r="D123" t="s">
        <v>763</v>
      </c>
      <c r="E123">
        <v>0.04</v>
      </c>
      <c r="F123">
        <v>0</v>
      </c>
    </row>
    <row r="124" spans="1:6" ht="17.25">
      <c r="A124" t="s">
        <v>747</v>
      </c>
      <c r="B124">
        <v>0.18</v>
      </c>
      <c r="C124">
        <v>0</v>
      </c>
      <c r="D124" t="s">
        <v>764</v>
      </c>
      <c r="E124">
        <v>0.015</v>
      </c>
      <c r="F124">
        <v>0</v>
      </c>
    </row>
    <row r="125" spans="1:6" ht="17.25">
      <c r="A125" t="s">
        <v>748</v>
      </c>
      <c r="B125">
        <v>0.18</v>
      </c>
      <c r="C125">
        <v>0</v>
      </c>
      <c r="D125" t="s">
        <v>710</v>
      </c>
      <c r="E125">
        <v>0.14</v>
      </c>
      <c r="F125">
        <v>0</v>
      </c>
    </row>
    <row r="126" spans="1:6" ht="17.25">
      <c r="A126" t="s">
        <v>749</v>
      </c>
      <c r="B126">
        <v>0.13</v>
      </c>
      <c r="C126">
        <v>0</v>
      </c>
      <c r="D126" t="s">
        <v>711</v>
      </c>
      <c r="E126" t="s">
        <v>687</v>
      </c>
      <c r="F126">
        <v>0</v>
      </c>
    </row>
    <row r="127" spans="1:6" ht="17.25">
      <c r="A127" t="s">
        <v>750</v>
      </c>
      <c r="B127">
        <v>0.13</v>
      </c>
      <c r="C127">
        <v>0</v>
      </c>
      <c r="D127" t="s">
        <v>712</v>
      </c>
      <c r="E127">
        <v>0.6</v>
      </c>
      <c r="F127">
        <v>0</v>
      </c>
    </row>
    <row r="128" spans="1:6" ht="17.25">
      <c r="A128" t="s">
        <v>735</v>
      </c>
      <c r="B128" t="s">
        <v>687</v>
      </c>
      <c r="C128">
        <v>0</v>
      </c>
      <c r="D128" t="s">
        <v>713</v>
      </c>
      <c r="E128">
        <v>0.4</v>
      </c>
      <c r="F128">
        <v>0</v>
      </c>
    </row>
    <row r="129" spans="1:6" ht="17.25">
      <c r="A129" t="s">
        <v>742</v>
      </c>
      <c r="B129">
        <v>0.33</v>
      </c>
      <c r="C129">
        <v>0</v>
      </c>
      <c r="D129" t="s">
        <v>714</v>
      </c>
      <c r="E129">
        <v>0.35</v>
      </c>
      <c r="F129">
        <v>0</v>
      </c>
    </row>
    <row r="130" spans="1:6" ht="17.25">
      <c r="A130" t="s">
        <v>777</v>
      </c>
      <c r="B130">
        <v>0.26</v>
      </c>
      <c r="C130">
        <v>0</v>
      </c>
      <c r="D130" t="s">
        <v>715</v>
      </c>
      <c r="E130">
        <v>0.35</v>
      </c>
      <c r="F130">
        <v>0</v>
      </c>
    </row>
    <row r="131" spans="1:6" ht="17.25">
      <c r="A131" t="s">
        <v>743</v>
      </c>
      <c r="B131">
        <v>0.33</v>
      </c>
      <c r="C131">
        <v>0</v>
      </c>
      <c r="D131" t="s">
        <v>716</v>
      </c>
      <c r="E131">
        <v>0.35</v>
      </c>
      <c r="F131">
        <v>0</v>
      </c>
    </row>
    <row r="132" spans="1:6" ht="17.25">
      <c r="A132" t="s">
        <v>772</v>
      </c>
      <c r="B132">
        <v>0.245</v>
      </c>
      <c r="C132">
        <v>0</v>
      </c>
      <c r="D132" t="s">
        <v>717</v>
      </c>
      <c r="E132">
        <v>0.35</v>
      </c>
      <c r="F132">
        <v>0</v>
      </c>
    </row>
    <row r="133" spans="1:6" ht="17.25">
      <c r="A133" t="s">
        <v>736</v>
      </c>
      <c r="B133" t="s">
        <v>687</v>
      </c>
      <c r="C133">
        <v>0</v>
      </c>
      <c r="D133" t="s">
        <v>718</v>
      </c>
      <c r="E133">
        <v>0.35</v>
      </c>
      <c r="F133">
        <v>0</v>
      </c>
    </row>
    <row r="134" spans="1:6" ht="17.25">
      <c r="A134" t="s">
        <v>744</v>
      </c>
      <c r="B134">
        <v>0.28</v>
      </c>
      <c r="C134">
        <v>0</v>
      </c>
      <c r="D134" t="s">
        <v>719</v>
      </c>
      <c r="E134">
        <v>0.2</v>
      </c>
      <c r="F134">
        <v>0</v>
      </c>
    </row>
    <row r="135" spans="1:6" ht="17.25">
      <c r="A135" t="s">
        <v>745</v>
      </c>
      <c r="B135">
        <v>0.28</v>
      </c>
      <c r="C135">
        <v>0</v>
      </c>
      <c r="D135" t="s">
        <v>720</v>
      </c>
      <c r="E135">
        <v>0.2</v>
      </c>
      <c r="F135">
        <v>0</v>
      </c>
    </row>
    <row r="136" spans="1:6" ht="17.25">
      <c r="A136" t="s">
        <v>737</v>
      </c>
      <c r="B136" t="s">
        <v>687</v>
      </c>
      <c r="C136">
        <v>0</v>
      </c>
      <c r="D136" t="s">
        <v>721</v>
      </c>
      <c r="E136">
        <v>0.065</v>
      </c>
      <c r="F136">
        <v>0</v>
      </c>
    </row>
    <row r="137" spans="1:6" ht="17.25">
      <c r="A137" t="s">
        <v>549</v>
      </c>
      <c r="B137">
        <v>0.33</v>
      </c>
      <c r="C137">
        <v>0</v>
      </c>
      <c r="D137" t="s">
        <v>765</v>
      </c>
      <c r="E137">
        <v>0.0325</v>
      </c>
      <c r="F137">
        <v>0</v>
      </c>
    </row>
    <row r="138" spans="1:6" ht="17.25">
      <c r="A138" t="s">
        <v>550</v>
      </c>
      <c r="B138">
        <v>0.33</v>
      </c>
      <c r="C138">
        <v>0</v>
      </c>
      <c r="D138" t="s">
        <v>766</v>
      </c>
      <c r="E138">
        <v>0.065</v>
      </c>
      <c r="F138">
        <v>0</v>
      </c>
    </row>
    <row r="139" spans="1:6" ht="17.25">
      <c r="A139" t="s">
        <v>552</v>
      </c>
      <c r="B139">
        <v>0.1</v>
      </c>
      <c r="C139">
        <v>0</v>
      </c>
      <c r="D139" t="s">
        <v>767</v>
      </c>
      <c r="E139">
        <v>0.024375</v>
      </c>
      <c r="F139">
        <v>0</v>
      </c>
    </row>
    <row r="140" spans="1:6" ht="17.25">
      <c r="A140" t="s">
        <v>551</v>
      </c>
      <c r="B140">
        <v>0.33</v>
      </c>
      <c r="C140">
        <v>0</v>
      </c>
      <c r="D140" t="s">
        <v>722</v>
      </c>
      <c r="E140">
        <v>0.245</v>
      </c>
      <c r="F140">
        <v>0</v>
      </c>
    </row>
    <row r="141" spans="1:6" ht="17.25">
      <c r="A141" t="s">
        <v>553</v>
      </c>
      <c r="B141">
        <v>0.1</v>
      </c>
      <c r="C141">
        <v>0</v>
      </c>
      <c r="D141" t="s">
        <v>723</v>
      </c>
      <c r="E141">
        <v>0.6</v>
      </c>
      <c r="F141">
        <v>0</v>
      </c>
    </row>
    <row r="142" spans="1:6" ht="17.25">
      <c r="A142" t="s">
        <v>545</v>
      </c>
      <c r="B142">
        <v>0.83</v>
      </c>
      <c r="C142">
        <v>0</v>
      </c>
      <c r="D142" t="s">
        <v>724</v>
      </c>
      <c r="E142">
        <v>0.45</v>
      </c>
      <c r="F142">
        <v>0</v>
      </c>
    </row>
    <row r="143" spans="1:6" ht="17.25">
      <c r="A143" t="s">
        <v>546</v>
      </c>
      <c r="B143">
        <v>0.57</v>
      </c>
      <c r="C143">
        <v>0</v>
      </c>
      <c r="D143" t="s">
        <v>725</v>
      </c>
      <c r="E143">
        <v>0.35</v>
      </c>
      <c r="F143">
        <v>0</v>
      </c>
    </row>
    <row r="144" spans="1:6" ht="17.25">
      <c r="A144" t="s">
        <v>547</v>
      </c>
      <c r="B144">
        <v>0.49</v>
      </c>
      <c r="C144">
        <v>0</v>
      </c>
      <c r="D144" t="s">
        <v>768</v>
      </c>
      <c r="E144">
        <v>0.35</v>
      </c>
      <c r="F144">
        <v>0</v>
      </c>
    </row>
    <row r="145" spans="1:6" ht="17.25">
      <c r="A145" t="s">
        <v>548</v>
      </c>
      <c r="B145">
        <v>0.4</v>
      </c>
      <c r="C145">
        <v>0</v>
      </c>
      <c r="D145" t="s">
        <v>726</v>
      </c>
      <c r="E145">
        <v>0.35</v>
      </c>
      <c r="F145">
        <v>0</v>
      </c>
    </row>
    <row r="146" spans="1:6" ht="17.25">
      <c r="A146" t="s">
        <v>512</v>
      </c>
      <c r="B146">
        <v>0.35</v>
      </c>
      <c r="C146">
        <v>0.023</v>
      </c>
      <c r="D146" t="s">
        <v>727</v>
      </c>
      <c r="E146">
        <v>0.35</v>
      </c>
      <c r="F146">
        <v>0</v>
      </c>
    </row>
    <row r="147" spans="1:6" ht="17.25">
      <c r="A147" t="s">
        <v>514</v>
      </c>
      <c r="B147">
        <v>0.35</v>
      </c>
      <c r="C147">
        <v>0.023</v>
      </c>
      <c r="D147" t="s">
        <v>728</v>
      </c>
      <c r="E147">
        <v>0.35</v>
      </c>
      <c r="F147">
        <v>0</v>
      </c>
    </row>
    <row r="148" spans="1:6" ht="17.25">
      <c r="A148" t="s">
        <v>516</v>
      </c>
      <c r="B148">
        <v>0.26</v>
      </c>
      <c r="C148">
        <v>0.017</v>
      </c>
      <c r="D148" t="s">
        <v>729</v>
      </c>
      <c r="E148">
        <v>0.25</v>
      </c>
      <c r="F148">
        <v>0</v>
      </c>
    </row>
    <row r="149" spans="1:6" ht="17.25">
      <c r="A149" t="s">
        <v>518</v>
      </c>
      <c r="B149">
        <v>0.26</v>
      </c>
      <c r="C149">
        <v>0.017</v>
      </c>
      <c r="D149" t="s">
        <v>730</v>
      </c>
      <c r="E149">
        <v>0.2</v>
      </c>
      <c r="F149">
        <v>0</v>
      </c>
    </row>
    <row r="150" spans="1:6" ht="17.25">
      <c r="A150" t="s">
        <v>505</v>
      </c>
      <c r="B150">
        <v>0.75</v>
      </c>
      <c r="C150">
        <v>0.065</v>
      </c>
      <c r="D150" t="s">
        <v>731</v>
      </c>
      <c r="E150">
        <v>0.2</v>
      </c>
      <c r="F150">
        <v>0</v>
      </c>
    </row>
    <row r="151" spans="1:6" ht="17.25">
      <c r="A151" t="s">
        <v>510</v>
      </c>
      <c r="B151">
        <v>0.46</v>
      </c>
      <c r="C151">
        <v>0.065</v>
      </c>
      <c r="D151" t="s">
        <v>732</v>
      </c>
      <c r="E151">
        <v>0.065</v>
      </c>
      <c r="F151">
        <v>0</v>
      </c>
    </row>
    <row r="152" spans="1:6" ht="17.25">
      <c r="A152" t="s">
        <v>511</v>
      </c>
      <c r="B152">
        <v>0.35</v>
      </c>
      <c r="C152">
        <v>0.023</v>
      </c>
      <c r="D152" t="s">
        <v>769</v>
      </c>
      <c r="E152">
        <v>0.0325</v>
      </c>
      <c r="F152">
        <v>0</v>
      </c>
    </row>
    <row r="153" spans="1:6" ht="17.25">
      <c r="A153" t="s">
        <v>513</v>
      </c>
      <c r="B153">
        <v>0.35</v>
      </c>
      <c r="C153">
        <v>0.023</v>
      </c>
      <c r="D153" t="s">
        <v>770</v>
      </c>
      <c r="E153">
        <v>0.065</v>
      </c>
      <c r="F153">
        <v>0</v>
      </c>
    </row>
    <row r="154" spans="1:6" ht="17.25">
      <c r="A154" t="s">
        <v>515</v>
      </c>
      <c r="B154">
        <v>0.26</v>
      </c>
      <c r="C154">
        <v>0.017</v>
      </c>
      <c r="D154" t="s">
        <v>771</v>
      </c>
      <c r="E154">
        <v>0.024375</v>
      </c>
      <c r="F154">
        <v>0</v>
      </c>
    </row>
    <row r="155" spans="1:6" ht="17.25">
      <c r="A155" t="s">
        <v>517</v>
      </c>
      <c r="B155">
        <v>0.26</v>
      </c>
      <c r="C155">
        <v>0.017</v>
      </c>
      <c r="D155" t="s">
        <v>733</v>
      </c>
      <c r="E155">
        <v>0.245</v>
      </c>
      <c r="F155">
        <v>0</v>
      </c>
    </row>
    <row r="156" spans="1:6" ht="17.25">
      <c r="A156" t="s">
        <v>506</v>
      </c>
      <c r="B156">
        <v>0.65</v>
      </c>
      <c r="C156">
        <v>0.065</v>
      </c>
      <c r="D156" t="s">
        <v>734</v>
      </c>
      <c r="E156" t="s">
        <v>687</v>
      </c>
      <c r="F156">
        <v>0</v>
      </c>
    </row>
    <row r="157" spans="1:6" ht="17.25">
      <c r="A157" t="s">
        <v>507</v>
      </c>
      <c r="B157">
        <v>0.65</v>
      </c>
      <c r="C157">
        <v>0.065</v>
      </c>
      <c r="D157" t="s">
        <v>735</v>
      </c>
      <c r="E157" t="s">
        <v>687</v>
      </c>
      <c r="F157">
        <v>0</v>
      </c>
    </row>
    <row r="158" spans="1:6" ht="17.25">
      <c r="A158" t="s">
        <v>508</v>
      </c>
      <c r="B158">
        <v>0.56</v>
      </c>
      <c r="C158">
        <v>0.065</v>
      </c>
      <c r="D158" t="s">
        <v>736</v>
      </c>
      <c r="E158" t="s">
        <v>687</v>
      </c>
      <c r="F158">
        <v>0</v>
      </c>
    </row>
    <row r="159" spans="1:6" ht="17.25">
      <c r="A159" t="s">
        <v>509</v>
      </c>
      <c r="B159">
        <v>0.56</v>
      </c>
      <c r="C159">
        <v>0.065</v>
      </c>
      <c r="D159" t="s">
        <v>772</v>
      </c>
      <c r="E159">
        <v>0.245</v>
      </c>
      <c r="F159">
        <v>0</v>
      </c>
    </row>
    <row r="160" spans="1:6" ht="17.25">
      <c r="A160" t="s">
        <v>751</v>
      </c>
      <c r="B160" t="s">
        <v>687</v>
      </c>
      <c r="C160">
        <v>0</v>
      </c>
      <c r="D160" t="s">
        <v>737</v>
      </c>
      <c r="E160" t="s">
        <v>687</v>
      </c>
      <c r="F160">
        <v>0</v>
      </c>
    </row>
    <row r="161" spans="1:6" ht="17.25">
      <c r="A161" t="s">
        <v>752</v>
      </c>
      <c r="B161" t="s">
        <v>687</v>
      </c>
      <c r="C161">
        <v>0</v>
      </c>
      <c r="D161" t="s">
        <v>738</v>
      </c>
      <c r="E161">
        <v>0.165</v>
      </c>
      <c r="F161">
        <v>0</v>
      </c>
    </row>
    <row r="162" spans="1:6" ht="17.25">
      <c r="A162" t="s">
        <v>753</v>
      </c>
      <c r="B162" t="s">
        <v>687</v>
      </c>
      <c r="C162">
        <v>0</v>
      </c>
      <c r="D162" t="s">
        <v>739</v>
      </c>
      <c r="E162">
        <v>0.165</v>
      </c>
      <c r="F162">
        <v>0</v>
      </c>
    </row>
    <row r="163" spans="1:6" ht="17.25">
      <c r="A163" t="s">
        <v>754</v>
      </c>
      <c r="B163">
        <v>0.12</v>
      </c>
      <c r="C163">
        <v>0</v>
      </c>
      <c r="D163" t="s">
        <v>740</v>
      </c>
      <c r="E163">
        <v>0.05</v>
      </c>
      <c r="F163">
        <v>0</v>
      </c>
    </row>
    <row r="164" spans="1:6" ht="17.25">
      <c r="A164" t="s">
        <v>755</v>
      </c>
      <c r="B164">
        <v>0.12</v>
      </c>
      <c r="C164">
        <v>0</v>
      </c>
      <c r="D164" t="s">
        <v>741</v>
      </c>
      <c r="E164">
        <v>0.38</v>
      </c>
      <c r="F164">
        <v>0</v>
      </c>
    </row>
    <row r="165" spans="1:6" ht="17.25">
      <c r="A165" t="s">
        <v>756</v>
      </c>
      <c r="B165">
        <v>0.04</v>
      </c>
      <c r="C165">
        <v>0</v>
      </c>
      <c r="D165" t="s">
        <v>742</v>
      </c>
      <c r="E165">
        <v>0.33</v>
      </c>
      <c r="F165">
        <v>0</v>
      </c>
    </row>
    <row r="166" spans="1:6" ht="17.25">
      <c r="A166" t="s">
        <v>759</v>
      </c>
      <c r="B166">
        <v>0.04</v>
      </c>
      <c r="C166">
        <v>0</v>
      </c>
      <c r="D166" t="s">
        <v>743</v>
      </c>
      <c r="E166">
        <v>0.33</v>
      </c>
      <c r="F166">
        <v>0</v>
      </c>
    </row>
    <row r="167" spans="1:6" ht="17.25">
      <c r="A167" t="s">
        <v>760</v>
      </c>
      <c r="B167">
        <v>0.04</v>
      </c>
      <c r="C167">
        <v>0</v>
      </c>
      <c r="D167" t="s">
        <v>744</v>
      </c>
      <c r="E167">
        <v>0.28</v>
      </c>
      <c r="F167">
        <v>0</v>
      </c>
    </row>
    <row r="168" spans="1:6" ht="17.25">
      <c r="A168" t="s">
        <v>773</v>
      </c>
      <c r="B168">
        <v>0.12</v>
      </c>
      <c r="C168">
        <v>0</v>
      </c>
      <c r="D168" t="s">
        <v>745</v>
      </c>
      <c r="E168">
        <v>0.28</v>
      </c>
      <c r="F168">
        <v>0</v>
      </c>
    </row>
    <row r="169" spans="1:6" ht="17.25">
      <c r="A169" t="s">
        <v>757</v>
      </c>
      <c r="B169">
        <v>0.06</v>
      </c>
      <c r="C169">
        <v>0</v>
      </c>
      <c r="D169" t="s">
        <v>746</v>
      </c>
      <c r="E169">
        <v>0.23</v>
      </c>
      <c r="F169">
        <v>0</v>
      </c>
    </row>
    <row r="170" spans="1:6" ht="17.25">
      <c r="A170" t="s">
        <v>758</v>
      </c>
      <c r="B170">
        <v>0.06</v>
      </c>
      <c r="C170">
        <v>0</v>
      </c>
      <c r="D170" t="s">
        <v>747</v>
      </c>
      <c r="E170">
        <v>0.18</v>
      </c>
      <c r="F170">
        <v>0</v>
      </c>
    </row>
    <row r="171" spans="1:6" ht="17.25">
      <c r="A171" t="s">
        <v>761</v>
      </c>
      <c r="B171">
        <v>0.02</v>
      </c>
      <c r="C171">
        <v>0</v>
      </c>
      <c r="D171" t="s">
        <v>748</v>
      </c>
      <c r="E171">
        <v>0.18</v>
      </c>
      <c r="F171">
        <v>0</v>
      </c>
    </row>
    <row r="172" spans="1:6" ht="17.25">
      <c r="A172" t="s">
        <v>387</v>
      </c>
      <c r="B172">
        <v>0.02</v>
      </c>
      <c r="C172">
        <v>0</v>
      </c>
      <c r="D172" t="s">
        <v>749</v>
      </c>
      <c r="E172">
        <v>0.13</v>
      </c>
      <c r="F172">
        <v>0</v>
      </c>
    </row>
    <row r="173" spans="1:6" ht="17.25">
      <c r="A173" t="s">
        <v>596</v>
      </c>
      <c r="B173">
        <v>1.2</v>
      </c>
      <c r="C173">
        <v>0</v>
      </c>
      <c r="D173" t="s">
        <v>750</v>
      </c>
      <c r="E173">
        <v>0.13</v>
      </c>
      <c r="F173">
        <v>0</v>
      </c>
    </row>
    <row r="174" spans="1:6" ht="17.25">
      <c r="A174" t="s">
        <v>597</v>
      </c>
      <c r="B174">
        <v>0.6</v>
      </c>
      <c r="C174">
        <v>0</v>
      </c>
      <c r="D174" t="s">
        <v>751</v>
      </c>
      <c r="E174" t="s">
        <v>687</v>
      </c>
      <c r="F174">
        <v>0</v>
      </c>
    </row>
    <row r="175" spans="1:6" ht="17.25">
      <c r="A175" t="s">
        <v>598</v>
      </c>
      <c r="B175">
        <v>0.6</v>
      </c>
      <c r="C175">
        <v>0</v>
      </c>
      <c r="D175" t="s">
        <v>752</v>
      </c>
      <c r="E175" t="s">
        <v>687</v>
      </c>
      <c r="F175">
        <v>0</v>
      </c>
    </row>
    <row r="176" spans="1:6" ht="17.25">
      <c r="A176" t="s">
        <v>599</v>
      </c>
      <c r="B176">
        <v>0.25</v>
      </c>
      <c r="C176">
        <v>0</v>
      </c>
      <c r="D176" t="s">
        <v>753</v>
      </c>
      <c r="E176" t="s">
        <v>687</v>
      </c>
      <c r="F176">
        <v>0</v>
      </c>
    </row>
    <row r="177" spans="1:6" ht="17.25">
      <c r="A177" t="s">
        <v>600</v>
      </c>
      <c r="B177">
        <v>0.25</v>
      </c>
      <c r="C177">
        <v>0</v>
      </c>
      <c r="D177" t="s">
        <v>754</v>
      </c>
      <c r="E177">
        <v>0.12</v>
      </c>
      <c r="F177">
        <v>0</v>
      </c>
    </row>
    <row r="178" spans="1:6" ht="17.25">
      <c r="A178" t="s">
        <v>601</v>
      </c>
      <c r="B178">
        <v>0.08</v>
      </c>
      <c r="C178">
        <v>0</v>
      </c>
      <c r="D178" t="s">
        <v>755</v>
      </c>
      <c r="E178">
        <v>0.12</v>
      </c>
      <c r="F178">
        <v>0</v>
      </c>
    </row>
    <row r="179" spans="1:6" ht="17.25">
      <c r="A179" t="s">
        <v>602</v>
      </c>
      <c r="B179">
        <v>0.25</v>
      </c>
      <c r="C179">
        <v>0</v>
      </c>
      <c r="D179" t="s">
        <v>756</v>
      </c>
      <c r="E179">
        <v>0.04</v>
      </c>
      <c r="F179">
        <v>0</v>
      </c>
    </row>
    <row r="180" spans="1:6" ht="17.25">
      <c r="A180" t="s">
        <v>603</v>
      </c>
      <c r="B180">
        <v>0.08</v>
      </c>
      <c r="C180">
        <v>0</v>
      </c>
      <c r="D180" t="s">
        <v>757</v>
      </c>
      <c r="E180">
        <v>0.06</v>
      </c>
      <c r="F180">
        <v>0</v>
      </c>
    </row>
    <row r="181" spans="1:6" ht="17.25">
      <c r="A181" t="s">
        <v>604</v>
      </c>
      <c r="B181">
        <v>0.04</v>
      </c>
      <c r="C181">
        <v>0</v>
      </c>
      <c r="D181" t="s">
        <v>758</v>
      </c>
      <c r="E181">
        <v>0.06</v>
      </c>
      <c r="F181">
        <v>0</v>
      </c>
    </row>
    <row r="182" spans="1:6" ht="17.25">
      <c r="A182" t="s">
        <v>605</v>
      </c>
      <c r="B182">
        <v>0.06</v>
      </c>
      <c r="C182">
        <v>0</v>
      </c>
      <c r="D182" t="s">
        <v>759</v>
      </c>
      <c r="E182">
        <v>0.04</v>
      </c>
      <c r="F182">
        <v>0</v>
      </c>
    </row>
    <row r="183" spans="1:6" ht="17.25">
      <c r="A183" t="s">
        <v>607</v>
      </c>
      <c r="B183">
        <v>0.02</v>
      </c>
      <c r="C183">
        <v>0</v>
      </c>
      <c r="D183" t="s">
        <v>760</v>
      </c>
      <c r="E183">
        <v>0.04</v>
      </c>
      <c r="F183">
        <v>0</v>
      </c>
    </row>
    <row r="184" spans="1:6" ht="17.25">
      <c r="A184" t="s">
        <v>606</v>
      </c>
      <c r="B184">
        <v>0.06</v>
      </c>
      <c r="C184">
        <v>0</v>
      </c>
      <c r="D184" t="s">
        <v>761</v>
      </c>
      <c r="E184">
        <v>0.02</v>
      </c>
      <c r="F184">
        <v>0</v>
      </c>
    </row>
    <row r="185" spans="1:6" ht="17.25">
      <c r="A185" t="s">
        <v>608</v>
      </c>
      <c r="B185">
        <v>0.04</v>
      </c>
      <c r="C185">
        <v>0</v>
      </c>
      <c r="D185" t="s">
        <v>387</v>
      </c>
      <c r="E185">
        <v>0.02</v>
      </c>
      <c r="F185">
        <v>0</v>
      </c>
    </row>
    <row r="186" spans="1:6" ht="17.25">
      <c r="A186" t="s">
        <v>609</v>
      </c>
      <c r="B186">
        <v>0.2</v>
      </c>
      <c r="C186">
        <v>0</v>
      </c>
      <c r="D186" t="s">
        <v>688</v>
      </c>
      <c r="E186">
        <v>0.06</v>
      </c>
      <c r="F186">
        <v>0</v>
      </c>
    </row>
    <row r="187" spans="1:6" ht="17.25">
      <c r="A187" t="s">
        <v>610</v>
      </c>
      <c r="B187">
        <v>0.4</v>
      </c>
      <c r="C187">
        <v>0.08</v>
      </c>
      <c r="D187" t="s">
        <v>689</v>
      </c>
      <c r="E187">
        <v>0.06</v>
      </c>
      <c r="F187">
        <v>0</v>
      </c>
    </row>
    <row r="188" spans="1:6" ht="17.25">
      <c r="A188" t="s">
        <v>612</v>
      </c>
      <c r="B188">
        <v>0.4</v>
      </c>
      <c r="C188">
        <v>0.08</v>
      </c>
      <c r="D188" t="s">
        <v>690</v>
      </c>
      <c r="E188">
        <v>0.04</v>
      </c>
      <c r="F188">
        <v>0</v>
      </c>
    </row>
    <row r="189" spans="1:6" ht="17.25">
      <c r="A189" t="s">
        <v>614</v>
      </c>
      <c r="B189">
        <v>0.28</v>
      </c>
      <c r="C189">
        <v>0.052</v>
      </c>
      <c r="D189" t="s">
        <v>691</v>
      </c>
      <c r="E189">
        <v>0.04</v>
      </c>
      <c r="F189">
        <v>0</v>
      </c>
    </row>
    <row r="190" spans="1:6" ht="17.25">
      <c r="A190" t="s">
        <v>616</v>
      </c>
      <c r="B190">
        <v>0.28</v>
      </c>
      <c r="C190">
        <v>0.052</v>
      </c>
      <c r="D190" t="s">
        <v>692</v>
      </c>
      <c r="E190">
        <v>0.02</v>
      </c>
      <c r="F190">
        <v>0</v>
      </c>
    </row>
    <row r="191" spans="1:6" ht="17.25">
      <c r="A191" t="s">
        <v>611</v>
      </c>
      <c r="B191">
        <v>1.2</v>
      </c>
      <c r="C191">
        <v>0.2</v>
      </c>
      <c r="D191" t="s">
        <v>693</v>
      </c>
      <c r="E191">
        <v>0.02</v>
      </c>
      <c r="F191">
        <v>0</v>
      </c>
    </row>
    <row r="192" spans="1:6" ht="17.25">
      <c r="A192" t="s">
        <v>619</v>
      </c>
      <c r="B192">
        <v>0.5</v>
      </c>
      <c r="C192">
        <v>0.2</v>
      </c>
      <c r="D192" t="s">
        <v>694</v>
      </c>
      <c r="E192">
        <v>0.1</v>
      </c>
      <c r="F192">
        <v>0</v>
      </c>
    </row>
    <row r="193" spans="1:6" ht="17.25">
      <c r="A193" t="s">
        <v>621</v>
      </c>
      <c r="B193">
        <v>0.4</v>
      </c>
      <c r="C193">
        <v>0.08</v>
      </c>
      <c r="D193" t="s">
        <v>695</v>
      </c>
      <c r="E193">
        <v>0.1</v>
      </c>
      <c r="F193">
        <v>0</v>
      </c>
    </row>
    <row r="194" spans="1:6" ht="17.25">
      <c r="A194" t="s">
        <v>622</v>
      </c>
      <c r="B194">
        <v>0.4</v>
      </c>
      <c r="C194">
        <v>0.08</v>
      </c>
      <c r="D194" t="s">
        <v>696</v>
      </c>
      <c r="E194">
        <v>0.07</v>
      </c>
      <c r="F194">
        <v>0</v>
      </c>
    </row>
    <row r="195" spans="1:6" ht="17.25">
      <c r="A195" t="s">
        <v>623</v>
      </c>
      <c r="B195">
        <v>0.28</v>
      </c>
      <c r="C195">
        <v>0.052</v>
      </c>
      <c r="D195" t="s">
        <v>697</v>
      </c>
      <c r="E195">
        <v>0.07</v>
      </c>
      <c r="F195">
        <v>0</v>
      </c>
    </row>
    <row r="196" spans="1:6" ht="17.25">
      <c r="A196" t="s">
        <v>624</v>
      </c>
      <c r="B196">
        <v>0.28</v>
      </c>
      <c r="C196">
        <v>0.052</v>
      </c>
      <c r="D196" t="s">
        <v>698</v>
      </c>
      <c r="E196">
        <v>0.03</v>
      </c>
      <c r="F196">
        <v>0</v>
      </c>
    </row>
    <row r="197" spans="1:6" ht="17.25">
      <c r="A197" t="s">
        <v>613</v>
      </c>
      <c r="B197">
        <v>1.02</v>
      </c>
      <c r="C197">
        <v>0.2</v>
      </c>
      <c r="D197" t="s">
        <v>699</v>
      </c>
      <c r="E197">
        <v>0.03</v>
      </c>
      <c r="F197">
        <v>0</v>
      </c>
    </row>
    <row r="198" spans="1:6" ht="17.25">
      <c r="A198" t="s">
        <v>615</v>
      </c>
      <c r="B198">
        <v>1.02</v>
      </c>
      <c r="C198">
        <v>0.2</v>
      </c>
      <c r="D198" t="s">
        <v>773</v>
      </c>
      <c r="E198">
        <v>0.12</v>
      </c>
      <c r="F198">
        <v>0</v>
      </c>
    </row>
    <row r="199" spans="1:6" ht="17.25">
      <c r="A199" t="s">
        <v>617</v>
      </c>
      <c r="B199">
        <v>0.7</v>
      </c>
      <c r="C199">
        <v>0.2</v>
      </c>
      <c r="D199" t="s">
        <v>774</v>
      </c>
      <c r="E199">
        <v>0.18</v>
      </c>
      <c r="F199">
        <v>0</v>
      </c>
    </row>
    <row r="200" spans="1:6" ht="17.25">
      <c r="A200" t="s">
        <v>618</v>
      </c>
      <c r="B200">
        <v>0.5</v>
      </c>
      <c r="C200">
        <v>0.2</v>
      </c>
      <c r="D200" t="s">
        <v>775</v>
      </c>
      <c r="E200">
        <v>0.3</v>
      </c>
      <c r="F200">
        <v>0</v>
      </c>
    </row>
    <row r="201" spans="1:6" ht="17.25">
      <c r="A201" t="s">
        <v>620</v>
      </c>
      <c r="B201">
        <v>0.5</v>
      </c>
      <c r="C201">
        <v>0.2</v>
      </c>
      <c r="D201" t="s">
        <v>776</v>
      </c>
      <c r="E201">
        <v>0.32</v>
      </c>
      <c r="F201">
        <v>0</v>
      </c>
    </row>
    <row r="202" spans="1:6" ht="17.25">
      <c r="A202" t="s">
        <v>627</v>
      </c>
      <c r="B202">
        <v>0</v>
      </c>
      <c r="C202">
        <v>0</v>
      </c>
      <c r="D202" t="s">
        <v>777</v>
      </c>
      <c r="E202">
        <v>0.26</v>
      </c>
      <c r="F202">
        <v>0</v>
      </c>
    </row>
  </sheetData>
  <sheetProtection/>
  <mergeCells count="2">
    <mergeCell ref="H3:I3"/>
    <mergeCell ref="O3:P3"/>
  </mergeCells>
  <printOptions/>
  <pageMargins left="0.984251968503937" right="0.7874015748031497" top="0.984251968503937" bottom="0.984251968503937" header="0.5118110236220472" footer="0.5118110236220472"/>
  <pageSetup horizontalDpi="600" verticalDpi="600" orientation="portrait" paperSize="9" scale="90" r:id="rId2"/>
  <rowBreaks count="1" manualBreakCount="1">
    <brk id="49" min="7" max="20" man="1"/>
  </rowBreaks>
  <colBreaks count="1" manualBreakCount="1">
    <brk id="14" min="1" max="48" man="1"/>
  </colBreaks>
  <drawing r:id="rId1"/>
</worksheet>
</file>

<file path=xl/worksheets/sheet2.xml><?xml version="1.0" encoding="utf-8"?>
<worksheet xmlns="http://schemas.openxmlformats.org/spreadsheetml/2006/main" xmlns:r="http://schemas.openxmlformats.org/officeDocument/2006/relationships">
  <dimension ref="A1:E97"/>
  <sheetViews>
    <sheetView zoomScaleSheetLayoutView="100" workbookViewId="0" topLeftCell="A1">
      <selection activeCell="G21" sqref="G21"/>
    </sheetView>
  </sheetViews>
  <sheetFormatPr defaultColWidth="9.00390625" defaultRowHeight="13.5"/>
  <cols>
    <col min="1" max="1" width="19.375" style="5" customWidth="1"/>
    <col min="2" max="2" width="17.50390625" style="5" customWidth="1"/>
    <col min="3" max="3" width="48.75390625" style="5" customWidth="1"/>
    <col min="4" max="4" width="10.625" style="5" customWidth="1"/>
    <col min="5" max="5" width="10.625" style="5" hidden="1" customWidth="1"/>
    <col min="6" max="16384" width="9.00390625" style="5" customWidth="1"/>
  </cols>
  <sheetData>
    <row r="1" spans="1:3" ht="34.5" customHeight="1">
      <c r="A1" s="411" t="s">
        <v>455</v>
      </c>
      <c r="B1" s="412"/>
      <c r="C1" s="412"/>
    </row>
    <row r="2" spans="1:5" ht="17.25" customHeight="1">
      <c r="A2" s="13"/>
      <c r="E2" s="46" t="s">
        <v>822</v>
      </c>
    </row>
    <row r="3" spans="1:5" ht="18" thickBot="1">
      <c r="A3" s="6" t="s">
        <v>456</v>
      </c>
      <c r="B3" s="6"/>
      <c r="C3" s="6"/>
      <c r="E3" s="46" t="s">
        <v>823</v>
      </c>
    </row>
    <row r="4" spans="1:5" ht="17.25">
      <c r="A4" s="420" t="s">
        <v>780</v>
      </c>
      <c r="B4" s="421"/>
      <c r="C4" s="348"/>
      <c r="E4" s="46" t="s">
        <v>818</v>
      </c>
    </row>
    <row r="5" spans="1:5" ht="17.25">
      <c r="A5" s="413" t="s">
        <v>781</v>
      </c>
      <c r="B5" s="416"/>
      <c r="C5" s="70"/>
      <c r="D5" s="9"/>
      <c r="E5" s="46" t="s">
        <v>819</v>
      </c>
    </row>
    <row r="6" spans="1:5" ht="17.25">
      <c r="A6" s="408" t="s">
        <v>917</v>
      </c>
      <c r="B6" s="36" t="s">
        <v>918</v>
      </c>
      <c r="C6" s="70"/>
      <c r="D6" s="9"/>
      <c r="E6" s="46" t="s">
        <v>820</v>
      </c>
    </row>
    <row r="7" spans="1:5" ht="17.25" customHeight="1">
      <c r="A7" s="409"/>
      <c r="B7" s="36" t="s">
        <v>835</v>
      </c>
      <c r="C7" s="70"/>
      <c r="D7" s="9"/>
      <c r="E7" s="46" t="s">
        <v>821</v>
      </c>
    </row>
    <row r="8" spans="1:5" ht="17.25">
      <c r="A8" s="410"/>
      <c r="B8" s="36" t="s">
        <v>336</v>
      </c>
      <c r="C8" s="70"/>
      <c r="D8" s="9"/>
      <c r="E8" s="46" t="s">
        <v>839</v>
      </c>
    </row>
    <row r="9" spans="1:5" ht="17.25">
      <c r="A9" s="413" t="s">
        <v>782</v>
      </c>
      <c r="B9" s="416"/>
      <c r="C9" s="390"/>
      <c r="D9" s="8"/>
      <c r="E9" s="46" t="s">
        <v>824</v>
      </c>
    </row>
    <row r="10" spans="1:5" ht="17.25">
      <c r="A10" s="413" t="s">
        <v>783</v>
      </c>
      <c r="B10" s="416"/>
      <c r="C10" s="265"/>
      <c r="D10" s="8"/>
      <c r="E10" s="46" t="s">
        <v>825</v>
      </c>
    </row>
    <row r="11" spans="1:5" ht="17.25" hidden="1">
      <c r="A11" s="259" t="s">
        <v>357</v>
      </c>
      <c r="B11" s="36"/>
      <c r="C11" s="266"/>
      <c r="D11" s="8"/>
      <c r="E11" s="46" t="s">
        <v>826</v>
      </c>
    </row>
    <row r="12" spans="1:5" ht="17.25">
      <c r="A12" s="417" t="s">
        <v>170</v>
      </c>
      <c r="B12" s="418"/>
      <c r="C12" s="70"/>
      <c r="E12" s="46" t="s">
        <v>827</v>
      </c>
    </row>
    <row r="13" spans="1:5" s="268" customFormat="1" ht="17.25" hidden="1">
      <c r="A13" s="260" t="s">
        <v>358</v>
      </c>
      <c r="B13" s="261"/>
      <c r="C13" s="267"/>
      <c r="E13" s="46" t="s">
        <v>844</v>
      </c>
    </row>
    <row r="14" spans="1:5" ht="17.25">
      <c r="A14" s="417" t="s">
        <v>784</v>
      </c>
      <c r="B14" s="418"/>
      <c r="C14" s="263"/>
      <c r="E14" s="46" t="s">
        <v>846</v>
      </c>
    </row>
    <row r="15" spans="1:5" ht="17.25">
      <c r="A15" s="413" t="s">
        <v>785</v>
      </c>
      <c r="B15" s="419"/>
      <c r="C15" s="264"/>
      <c r="E15" s="46" t="s">
        <v>848</v>
      </c>
    </row>
    <row r="16" spans="1:5" ht="17.25">
      <c r="A16" s="413" t="s">
        <v>786</v>
      </c>
      <c r="B16" s="36" t="s">
        <v>327</v>
      </c>
      <c r="C16" s="71"/>
      <c r="E16" s="46" t="s">
        <v>828</v>
      </c>
    </row>
    <row r="17" spans="1:5" ht="17.25">
      <c r="A17" s="414"/>
      <c r="B17" s="37" t="s">
        <v>328</v>
      </c>
      <c r="C17" s="72"/>
      <c r="E17" s="46" t="s">
        <v>829</v>
      </c>
    </row>
    <row r="18" spans="1:5" ht="17.25">
      <c r="A18" s="414"/>
      <c r="B18" s="37" t="s">
        <v>329</v>
      </c>
      <c r="C18" s="72"/>
      <c r="E18" s="46" t="s">
        <v>852</v>
      </c>
    </row>
    <row r="19" spans="1:5" ht="17.25">
      <c r="A19" s="414"/>
      <c r="B19" s="37" t="s">
        <v>330</v>
      </c>
      <c r="C19" s="72"/>
      <c r="E19" s="46" t="s">
        <v>854</v>
      </c>
    </row>
    <row r="20" spans="1:5" ht="18" thickBot="1">
      <c r="A20" s="415"/>
      <c r="B20" s="38" t="s">
        <v>331</v>
      </c>
      <c r="C20" s="73"/>
      <c r="E20" s="46" t="s">
        <v>830</v>
      </c>
    </row>
    <row r="21" spans="1:5" ht="17.25">
      <c r="A21" s="42"/>
      <c r="B21" s="43"/>
      <c r="C21" s="44"/>
      <c r="E21" s="46" t="s">
        <v>857</v>
      </c>
    </row>
    <row r="22" ht="17.25">
      <c r="E22" s="46" t="s">
        <v>859</v>
      </c>
    </row>
    <row r="23" spans="2:5" ht="17.25">
      <c r="B23" s="40" t="s">
        <v>335</v>
      </c>
      <c r="C23" s="12"/>
      <c r="E23" s="46" t="s">
        <v>861</v>
      </c>
    </row>
    <row r="24" spans="2:5" ht="17.25">
      <c r="B24" s="39" t="s">
        <v>459</v>
      </c>
      <c r="E24" s="46" t="s">
        <v>831</v>
      </c>
    </row>
    <row r="25" ht="17.25">
      <c r="E25" s="46" t="s">
        <v>858</v>
      </c>
    </row>
    <row r="26" ht="17.25">
      <c r="E26" s="46" t="s">
        <v>832</v>
      </c>
    </row>
    <row r="27" ht="17.25">
      <c r="E27" s="46" t="s">
        <v>833</v>
      </c>
    </row>
    <row r="28" ht="17.25">
      <c r="E28" s="46" t="s">
        <v>867</v>
      </c>
    </row>
    <row r="29" ht="17.25">
      <c r="E29" s="46" t="s">
        <v>856</v>
      </c>
    </row>
    <row r="30" ht="17.25">
      <c r="E30" s="46" t="s">
        <v>838</v>
      </c>
    </row>
    <row r="31" ht="17.25">
      <c r="E31" s="46" t="s">
        <v>870</v>
      </c>
    </row>
    <row r="32" ht="17.25">
      <c r="E32" s="46" t="s">
        <v>871</v>
      </c>
    </row>
    <row r="33" ht="17.25">
      <c r="E33" s="46" t="s">
        <v>840</v>
      </c>
    </row>
    <row r="34" ht="17.25">
      <c r="E34" s="46" t="s">
        <v>841</v>
      </c>
    </row>
    <row r="35" ht="17.25">
      <c r="E35" s="46" t="s">
        <v>842</v>
      </c>
    </row>
    <row r="36" ht="17.25">
      <c r="E36" s="46" t="s">
        <v>876</v>
      </c>
    </row>
    <row r="37" ht="17.25">
      <c r="E37" s="46" t="s">
        <v>878</v>
      </c>
    </row>
    <row r="38" ht="17.25">
      <c r="E38" s="46" t="s">
        <v>880</v>
      </c>
    </row>
    <row r="39" ht="17.25">
      <c r="E39" s="46" t="s">
        <v>881</v>
      </c>
    </row>
    <row r="40" ht="17.25">
      <c r="E40" s="46" t="s">
        <v>837</v>
      </c>
    </row>
    <row r="41" ht="17.25">
      <c r="E41" s="46" t="s">
        <v>834</v>
      </c>
    </row>
    <row r="42" ht="17.25">
      <c r="E42" s="46" t="s">
        <v>877</v>
      </c>
    </row>
    <row r="43" ht="17.25">
      <c r="E43" s="46" t="s">
        <v>879</v>
      </c>
    </row>
    <row r="44" ht="17.25">
      <c r="E44" s="46" t="s">
        <v>882</v>
      </c>
    </row>
    <row r="45" ht="17.25">
      <c r="E45" s="46" t="s">
        <v>883</v>
      </c>
    </row>
    <row r="46" ht="17.25">
      <c r="E46" s="46" t="s">
        <v>884</v>
      </c>
    </row>
    <row r="47" ht="17.25">
      <c r="E47" s="46" t="s">
        <v>885</v>
      </c>
    </row>
    <row r="48" ht="17.25">
      <c r="E48" s="46" t="s">
        <v>886</v>
      </c>
    </row>
    <row r="49" ht="17.25">
      <c r="E49" s="46" t="s">
        <v>887</v>
      </c>
    </row>
    <row r="50" ht="17.25">
      <c r="E50" s="46" t="s">
        <v>888</v>
      </c>
    </row>
    <row r="51" ht="17.25">
      <c r="E51" s="46" t="s">
        <v>889</v>
      </c>
    </row>
    <row r="52" ht="17.25">
      <c r="E52" s="4" t="s">
        <v>890</v>
      </c>
    </row>
    <row r="53" ht="17.25">
      <c r="E53" s="4" t="s">
        <v>891</v>
      </c>
    </row>
    <row r="54" ht="17.25">
      <c r="E54" s="4" t="s">
        <v>843</v>
      </c>
    </row>
    <row r="55" ht="17.25">
      <c r="E55" s="4" t="s">
        <v>847</v>
      </c>
    </row>
    <row r="56" ht="17.25">
      <c r="E56" s="4" t="s">
        <v>849</v>
      </c>
    </row>
    <row r="57" ht="17.25">
      <c r="E57" s="4" t="s">
        <v>845</v>
      </c>
    </row>
    <row r="58" ht="17.25">
      <c r="E58" s="4" t="s">
        <v>863</v>
      </c>
    </row>
    <row r="59" ht="17.25">
      <c r="E59" s="4" t="s">
        <v>860</v>
      </c>
    </row>
    <row r="60" ht="17.25">
      <c r="E60" s="4" t="s">
        <v>862</v>
      </c>
    </row>
    <row r="61" ht="17.25">
      <c r="E61" s="4" t="s">
        <v>865</v>
      </c>
    </row>
    <row r="62" ht="17.25">
      <c r="E62" s="4" t="s">
        <v>864</v>
      </c>
    </row>
    <row r="63" ht="17.25">
      <c r="E63" s="4" t="s">
        <v>873</v>
      </c>
    </row>
    <row r="64" ht="17.25">
      <c r="E64" s="4" t="s">
        <v>874</v>
      </c>
    </row>
    <row r="65" ht="17.25">
      <c r="E65" s="4" t="s">
        <v>872</v>
      </c>
    </row>
    <row r="66" ht="17.25">
      <c r="E66" s="4" t="s">
        <v>875</v>
      </c>
    </row>
    <row r="67" ht="17.25">
      <c r="E67" s="4" t="s">
        <v>868</v>
      </c>
    </row>
    <row r="68" ht="17.25">
      <c r="E68" s="4" t="s">
        <v>869</v>
      </c>
    </row>
    <row r="69" ht="17.25">
      <c r="E69" s="46" t="s">
        <v>898</v>
      </c>
    </row>
    <row r="70" ht="17.25">
      <c r="E70" s="46" t="s">
        <v>900</v>
      </c>
    </row>
    <row r="71" ht="17.25">
      <c r="E71" s="46" t="s">
        <v>902</v>
      </c>
    </row>
    <row r="72" ht="17.25">
      <c r="E72" s="46" t="s">
        <v>904</v>
      </c>
    </row>
    <row r="73" ht="17.25">
      <c r="E73" s="46" t="s">
        <v>906</v>
      </c>
    </row>
    <row r="74" ht="17.25">
      <c r="E74" s="46" t="s">
        <v>907</v>
      </c>
    </row>
    <row r="75" ht="17.25">
      <c r="E75" s="46" t="s">
        <v>908</v>
      </c>
    </row>
    <row r="76" ht="17.25">
      <c r="E76" s="46" t="s">
        <v>909</v>
      </c>
    </row>
    <row r="77" ht="17.25">
      <c r="E77" s="46" t="s">
        <v>893</v>
      </c>
    </row>
    <row r="78" ht="17.25">
      <c r="E78" s="46" t="s">
        <v>895</v>
      </c>
    </row>
    <row r="79" ht="17.25">
      <c r="E79" s="46" t="s">
        <v>892</v>
      </c>
    </row>
    <row r="80" ht="17.25">
      <c r="E80" s="46" t="s">
        <v>894</v>
      </c>
    </row>
    <row r="81" ht="17.25">
      <c r="E81" s="46" t="s">
        <v>911</v>
      </c>
    </row>
    <row r="82" ht="17.25">
      <c r="E82" s="46" t="s">
        <v>913</v>
      </c>
    </row>
    <row r="83" ht="17.25">
      <c r="E83" s="46" t="s">
        <v>915</v>
      </c>
    </row>
    <row r="84" ht="17.25">
      <c r="E84" s="46" t="s">
        <v>914</v>
      </c>
    </row>
    <row r="85" ht="17.25">
      <c r="E85" s="46" t="s">
        <v>910</v>
      </c>
    </row>
    <row r="86" ht="17.25">
      <c r="E86" s="46" t="s">
        <v>912</v>
      </c>
    </row>
    <row r="87" ht="17.25">
      <c r="E87" s="46" t="s">
        <v>901</v>
      </c>
    </row>
    <row r="88" ht="17.25">
      <c r="E88" s="46" t="s">
        <v>899</v>
      </c>
    </row>
    <row r="89" ht="17.25">
      <c r="E89" s="46" t="s">
        <v>905</v>
      </c>
    </row>
    <row r="90" ht="17.25">
      <c r="E90" s="46" t="s">
        <v>896</v>
      </c>
    </row>
    <row r="91" ht="17.25">
      <c r="E91" s="46" t="s">
        <v>897</v>
      </c>
    </row>
    <row r="92" ht="17.25">
      <c r="E92" s="46" t="s">
        <v>903</v>
      </c>
    </row>
    <row r="93" ht="17.25">
      <c r="E93" s="46" t="s">
        <v>855</v>
      </c>
    </row>
    <row r="94" ht="17.25">
      <c r="E94" s="46" t="s">
        <v>851</v>
      </c>
    </row>
    <row r="95" ht="17.25">
      <c r="E95" s="46" t="s">
        <v>850</v>
      </c>
    </row>
    <row r="96" ht="17.25">
      <c r="E96" s="46" t="s">
        <v>853</v>
      </c>
    </row>
    <row r="97" ht="17.25">
      <c r="E97" s="46" t="s">
        <v>866</v>
      </c>
    </row>
  </sheetData>
  <sheetProtection/>
  <mergeCells count="10">
    <mergeCell ref="A6:A8"/>
    <mergeCell ref="A1:C1"/>
    <mergeCell ref="A16:A20"/>
    <mergeCell ref="A5:B5"/>
    <mergeCell ref="A9:B9"/>
    <mergeCell ref="A10:B10"/>
    <mergeCell ref="A12:B12"/>
    <mergeCell ref="A14:B14"/>
    <mergeCell ref="A15:B15"/>
    <mergeCell ref="A4:B4"/>
  </mergeCells>
  <dataValidations count="5">
    <dataValidation allowBlank="1" showInputMessage="1" showErrorMessage="1" imeMode="halfAlpha" sqref="C23 B24 C15 C20:C21"/>
    <dataValidation type="list" allowBlank="1" showInputMessage="1" showErrorMessage="1" sqref="C12">
      <formula1>産業分類</formula1>
    </dataValidation>
    <dataValidation type="list" allowBlank="1" showInputMessage="1" showErrorMessage="1" sqref="C7">
      <formula1>$E$2:$E$97</formula1>
    </dataValidation>
    <dataValidation type="whole" operator="greaterThanOrEqual" allowBlank="1" showInputMessage="1" showErrorMessage="1" imeMode="halfAlpha" sqref="C14">
      <formula1>1</formula1>
    </dataValidation>
    <dataValidation type="whole" operator="greaterThanOrEqual" allowBlank="1" showInputMessage="1" showErrorMessage="1" imeMode="halfAlpha" sqref="C10">
      <formula1>30</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&amp;R様式２</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45"/>
  <sheetViews>
    <sheetView workbookViewId="0" topLeftCell="A1">
      <pane ySplit="4" topLeftCell="BM5" activePane="bottomLeft" state="frozen"/>
      <selection pane="topLeft" activeCell="A65" sqref="A1:D65"/>
      <selection pane="bottomLeft" activeCell="C5" sqref="C5"/>
    </sheetView>
  </sheetViews>
  <sheetFormatPr defaultColWidth="9.00390625" defaultRowHeight="13.5"/>
  <cols>
    <col min="1" max="1" width="4.375" style="1" customWidth="1"/>
    <col min="2" max="2" width="15.50390625" style="1" customWidth="1"/>
    <col min="3" max="3" width="13.625" style="1" customWidth="1"/>
    <col min="4" max="4" width="17.125" style="1" customWidth="1"/>
    <col min="5" max="5" width="13.375" style="1" customWidth="1"/>
    <col min="6" max="25" width="5.625" style="1" customWidth="1"/>
    <col min="26" max="35" width="9.00390625" style="1" customWidth="1"/>
    <col min="36" max="36" width="0" style="1" hidden="1" customWidth="1"/>
    <col min="37" max="16384" width="9.00390625" style="1" customWidth="1"/>
  </cols>
  <sheetData>
    <row r="1" spans="1:8" ht="15" thickBot="1">
      <c r="A1" s="10" t="s">
        <v>457</v>
      </c>
      <c r="D1" s="10"/>
      <c r="H1" s="57"/>
    </row>
    <row r="2" spans="1:25" ht="13.5" customHeight="1" thickBot="1">
      <c r="A2" s="422" t="s">
        <v>554</v>
      </c>
      <c r="B2" s="425" t="s">
        <v>787</v>
      </c>
      <c r="C2" s="425" t="s">
        <v>788</v>
      </c>
      <c r="D2" s="428"/>
      <c r="E2" s="425" t="s">
        <v>789</v>
      </c>
      <c r="F2" s="425" t="s">
        <v>790</v>
      </c>
      <c r="G2" s="425" t="s">
        <v>791</v>
      </c>
      <c r="H2" s="429" t="s">
        <v>792</v>
      </c>
      <c r="I2" s="428"/>
      <c r="J2" s="428"/>
      <c r="K2" s="428"/>
      <c r="L2" s="428"/>
      <c r="M2" s="428"/>
      <c r="N2" s="428"/>
      <c r="O2" s="428"/>
      <c r="P2" s="428"/>
      <c r="Q2" s="428"/>
      <c r="R2" s="428"/>
      <c r="S2" s="428"/>
      <c r="T2" s="428"/>
      <c r="U2" s="428"/>
      <c r="V2" s="428"/>
      <c r="W2" s="428"/>
      <c r="X2" s="428"/>
      <c r="Y2" s="430"/>
    </row>
    <row r="3" spans="1:25" ht="13.5" customHeight="1">
      <c r="A3" s="423"/>
      <c r="B3" s="426"/>
      <c r="C3" s="426"/>
      <c r="D3" s="426"/>
      <c r="E3" s="426"/>
      <c r="F3" s="426"/>
      <c r="G3" s="426"/>
      <c r="H3" s="431" t="s">
        <v>2</v>
      </c>
      <c r="I3" s="431"/>
      <c r="J3" s="431"/>
      <c r="K3" s="431"/>
      <c r="L3" s="431" t="s">
        <v>3</v>
      </c>
      <c r="M3" s="431"/>
      <c r="N3" s="431"/>
      <c r="O3" s="431"/>
      <c r="P3" s="431" t="s">
        <v>636</v>
      </c>
      <c r="Q3" s="431"/>
      <c r="R3" s="431"/>
      <c r="S3" s="431"/>
      <c r="T3" s="431" t="s">
        <v>4</v>
      </c>
      <c r="U3" s="431"/>
      <c r="V3" s="431"/>
      <c r="W3" s="431"/>
      <c r="X3" s="432" t="s">
        <v>5</v>
      </c>
      <c r="Y3" s="434" t="s">
        <v>594</v>
      </c>
    </row>
    <row r="4" spans="1:25" ht="27.75" customHeight="1" thickBot="1">
      <c r="A4" s="424"/>
      <c r="B4" s="427"/>
      <c r="C4" s="35" t="s">
        <v>835</v>
      </c>
      <c r="D4" s="35" t="s">
        <v>336</v>
      </c>
      <c r="E4" s="427"/>
      <c r="F4" s="427"/>
      <c r="G4" s="427"/>
      <c r="H4" s="34" t="s">
        <v>461</v>
      </c>
      <c r="I4" s="34" t="s">
        <v>462</v>
      </c>
      <c r="J4" s="34" t="s">
        <v>463</v>
      </c>
      <c r="K4" s="34" t="s">
        <v>464</v>
      </c>
      <c r="L4" s="34" t="s">
        <v>461</v>
      </c>
      <c r="M4" s="34" t="s">
        <v>462</v>
      </c>
      <c r="N4" s="34" t="s">
        <v>463</v>
      </c>
      <c r="O4" s="34" t="s">
        <v>464</v>
      </c>
      <c r="P4" s="34" t="s">
        <v>461</v>
      </c>
      <c r="Q4" s="34" t="s">
        <v>462</v>
      </c>
      <c r="R4" s="34" t="s">
        <v>463</v>
      </c>
      <c r="S4" s="34" t="s">
        <v>464</v>
      </c>
      <c r="T4" s="34" t="s">
        <v>461</v>
      </c>
      <c r="U4" s="34" t="s">
        <v>462</v>
      </c>
      <c r="V4" s="34" t="s">
        <v>463</v>
      </c>
      <c r="W4" s="34" t="s">
        <v>464</v>
      </c>
      <c r="X4" s="433"/>
      <c r="Y4" s="435"/>
    </row>
    <row r="5" spans="1:36" ht="13.5" customHeight="1">
      <c r="A5" s="15">
        <v>1</v>
      </c>
      <c r="B5" s="74"/>
      <c r="C5" s="74"/>
      <c r="D5" s="74"/>
      <c r="E5" s="75"/>
      <c r="F5" s="75"/>
      <c r="G5" s="75"/>
      <c r="H5" s="16">
        <f aca="true" t="shared" si="0" ref="H5:H44">COUNTIF(総括表作成記号,CONCATENATE($A5,11))</f>
        <v>0</v>
      </c>
      <c r="I5" s="16">
        <f aca="true" t="shared" si="1" ref="I5:I44">COUNTIF(総括表作成記号,CONCATENATE($A5,12))</f>
        <v>0</v>
      </c>
      <c r="J5" s="16">
        <f aca="true" t="shared" si="2" ref="J5:J44">COUNTIF(総括表作成記号,CONCATENATE($A5,13))</f>
        <v>0</v>
      </c>
      <c r="K5" s="16">
        <f aca="true" t="shared" si="3" ref="K5:K44">COUNTIF(総括表作成記号,CONCATENATE($A5,14))</f>
        <v>0</v>
      </c>
      <c r="L5" s="16">
        <f aca="true" t="shared" si="4" ref="L5:L44">COUNTIF(総括表作成記号,CONCATENATE($A5,21))</f>
        <v>0</v>
      </c>
      <c r="M5" s="16">
        <f aca="true" t="shared" si="5" ref="M5:M44">COUNTIF(総括表作成記号,CONCATENATE($A5,22))</f>
        <v>0</v>
      </c>
      <c r="N5" s="16">
        <f aca="true" t="shared" si="6" ref="N5:N44">COUNTIF(総括表作成記号,CONCATENATE($A5,23))</f>
        <v>0</v>
      </c>
      <c r="O5" s="16">
        <f aca="true" t="shared" si="7" ref="O5:O44">COUNTIF(総括表作成記号,CONCATENATE($A5,24))</f>
        <v>0</v>
      </c>
      <c r="P5" s="16">
        <f aca="true" t="shared" si="8" ref="P5:P44">COUNTIF(総括表作成記号,CONCATENATE($A5,31))</f>
        <v>0</v>
      </c>
      <c r="Q5" s="16">
        <f aca="true" t="shared" si="9" ref="Q5:Q44">COUNTIF(総括表作成記号,CONCATENATE($A5,32))</f>
        <v>0</v>
      </c>
      <c r="R5" s="16">
        <f aca="true" t="shared" si="10" ref="R5:R44">COUNTIF(総括表作成記号,CONCATENATE($A5,33))</f>
        <v>0</v>
      </c>
      <c r="S5" s="16">
        <f aca="true" t="shared" si="11" ref="S5:S44">COUNTIF(総括表作成記号,CONCATENATE($A5,34))</f>
        <v>0</v>
      </c>
      <c r="T5" s="16">
        <f aca="true" t="shared" si="12" ref="T5:T44">COUNTIF(総括表作成記号,CONCATENATE($A5,51))+COUNTIF(総括表作成記号,CONCATENATE($A5,61))+COUNTIF(総括表作成記号,CONCATENATE($A5,71))+COUNTIF(総括表作成記号,CONCATENATE($A5,81))</f>
        <v>0</v>
      </c>
      <c r="U5" s="16">
        <f aca="true" t="shared" si="13" ref="U5:U44">COUNTIF(総括表作成記号,CONCATENATE($A5,52))+COUNTIF(総括表作成記号,CONCATENATE($A5,62))+COUNTIF(総括表作成記号,CONCATENATE($A5,72))+COUNTIF(総括表作成記号,CONCATENATE($A5,82))</f>
        <v>0</v>
      </c>
      <c r="V5" s="16">
        <f aca="true" t="shared" si="14" ref="V5:V44">COUNTIF(総括表作成記号,CONCATENATE($A5,53))+COUNTIF(総括表作成記号,CONCATENATE($A5,63))+COUNTIF(総括表作成記号,CONCATENATE($A5,73))+COUNTIF(総括表作成記号,CONCATENATE($A5,83))</f>
        <v>0</v>
      </c>
      <c r="W5" s="16">
        <f aca="true" t="shared" si="15" ref="W5:W44">COUNTIF(総括表作成記号,CONCATENATE($A5,54))+COUNTIF(総括表作成記号,CONCATENATE($A5,64))+COUNTIF(総括表作成記号,CONCATENATE($A5,74))+COUNTIF(総括表作成記号,CONCATENATE($A5,84))</f>
        <v>0</v>
      </c>
      <c r="X5" s="23">
        <f aca="true" t="shared" si="16" ref="X5:X44">COUNTIF(総括表作成記号,CONCATENATE($A5,40))</f>
        <v>0</v>
      </c>
      <c r="Y5" s="27">
        <f>SUM(H5:X5)</f>
        <v>0</v>
      </c>
      <c r="AJ5" s="46" t="s">
        <v>822</v>
      </c>
    </row>
    <row r="6" spans="1:36" ht="13.5" customHeight="1">
      <c r="A6" s="17">
        <v>2</v>
      </c>
      <c r="B6" s="76"/>
      <c r="C6" s="76"/>
      <c r="D6" s="76"/>
      <c r="E6" s="77"/>
      <c r="F6" s="77"/>
      <c r="G6" s="77"/>
      <c r="H6" s="14">
        <f t="shared" si="0"/>
        <v>0</v>
      </c>
      <c r="I6" s="14">
        <f t="shared" si="1"/>
        <v>0</v>
      </c>
      <c r="J6" s="14">
        <f t="shared" si="2"/>
        <v>0</v>
      </c>
      <c r="K6" s="14">
        <f t="shared" si="3"/>
        <v>0</v>
      </c>
      <c r="L6" s="14">
        <f t="shared" si="4"/>
        <v>0</v>
      </c>
      <c r="M6" s="14">
        <f t="shared" si="5"/>
        <v>0</v>
      </c>
      <c r="N6" s="14">
        <f t="shared" si="6"/>
        <v>0</v>
      </c>
      <c r="O6" s="14">
        <f t="shared" si="7"/>
        <v>0</v>
      </c>
      <c r="P6" s="14">
        <f t="shared" si="8"/>
        <v>0</v>
      </c>
      <c r="Q6" s="14">
        <f t="shared" si="9"/>
        <v>0</v>
      </c>
      <c r="R6" s="14">
        <f t="shared" si="10"/>
        <v>0</v>
      </c>
      <c r="S6" s="14">
        <f t="shared" si="11"/>
        <v>0</v>
      </c>
      <c r="T6" s="14">
        <f t="shared" si="12"/>
        <v>0</v>
      </c>
      <c r="U6" s="14">
        <f t="shared" si="13"/>
        <v>0</v>
      </c>
      <c r="V6" s="14">
        <f t="shared" si="14"/>
        <v>0</v>
      </c>
      <c r="W6" s="14">
        <f t="shared" si="15"/>
        <v>0</v>
      </c>
      <c r="X6" s="24">
        <f t="shared" si="16"/>
        <v>0</v>
      </c>
      <c r="Y6" s="28">
        <f aca="true" t="shared" si="17" ref="Y6:Y34">SUM(H6:X6)</f>
        <v>0</v>
      </c>
      <c r="AJ6" s="46" t="s">
        <v>823</v>
      </c>
    </row>
    <row r="7" spans="1:36" ht="13.5" customHeight="1">
      <c r="A7" s="17">
        <v>3</v>
      </c>
      <c r="B7" s="76"/>
      <c r="C7" s="76"/>
      <c r="D7" s="76"/>
      <c r="E7" s="77"/>
      <c r="F7" s="77"/>
      <c r="G7" s="77"/>
      <c r="H7" s="14">
        <f t="shared" si="0"/>
        <v>0</v>
      </c>
      <c r="I7" s="14">
        <f t="shared" si="1"/>
        <v>0</v>
      </c>
      <c r="J7" s="14">
        <f t="shared" si="2"/>
        <v>0</v>
      </c>
      <c r="K7" s="14">
        <f t="shared" si="3"/>
        <v>0</v>
      </c>
      <c r="L7" s="14">
        <f t="shared" si="4"/>
        <v>0</v>
      </c>
      <c r="M7" s="14">
        <f t="shared" si="5"/>
        <v>0</v>
      </c>
      <c r="N7" s="14">
        <f t="shared" si="6"/>
        <v>0</v>
      </c>
      <c r="O7" s="14">
        <f t="shared" si="7"/>
        <v>0</v>
      </c>
      <c r="P7" s="14">
        <f t="shared" si="8"/>
        <v>0</v>
      </c>
      <c r="Q7" s="14">
        <f t="shared" si="9"/>
        <v>0</v>
      </c>
      <c r="R7" s="14">
        <f t="shared" si="10"/>
        <v>0</v>
      </c>
      <c r="S7" s="14">
        <f t="shared" si="11"/>
        <v>0</v>
      </c>
      <c r="T7" s="14">
        <f t="shared" si="12"/>
        <v>0</v>
      </c>
      <c r="U7" s="14">
        <f t="shared" si="13"/>
        <v>0</v>
      </c>
      <c r="V7" s="14">
        <f t="shared" si="14"/>
        <v>0</v>
      </c>
      <c r="W7" s="14">
        <f t="shared" si="15"/>
        <v>0</v>
      </c>
      <c r="X7" s="24">
        <f t="shared" si="16"/>
        <v>0</v>
      </c>
      <c r="Y7" s="28">
        <f t="shared" si="17"/>
        <v>0</v>
      </c>
      <c r="AJ7" s="46" t="s">
        <v>818</v>
      </c>
    </row>
    <row r="8" spans="1:36" ht="13.5" customHeight="1">
      <c r="A8" s="17">
        <v>4</v>
      </c>
      <c r="B8" s="76"/>
      <c r="C8" s="76"/>
      <c r="D8" s="237"/>
      <c r="E8" s="77"/>
      <c r="F8" s="77"/>
      <c r="G8" s="77"/>
      <c r="H8" s="14">
        <f t="shared" si="0"/>
        <v>0</v>
      </c>
      <c r="I8" s="14">
        <f t="shared" si="1"/>
        <v>0</v>
      </c>
      <c r="J8" s="14">
        <f t="shared" si="2"/>
        <v>0</v>
      </c>
      <c r="K8" s="14">
        <f t="shared" si="3"/>
        <v>0</v>
      </c>
      <c r="L8" s="14">
        <f t="shared" si="4"/>
        <v>0</v>
      </c>
      <c r="M8" s="14">
        <f t="shared" si="5"/>
        <v>0</v>
      </c>
      <c r="N8" s="14">
        <f t="shared" si="6"/>
        <v>0</v>
      </c>
      <c r="O8" s="14">
        <f t="shared" si="7"/>
        <v>0</v>
      </c>
      <c r="P8" s="14">
        <f t="shared" si="8"/>
        <v>0</v>
      </c>
      <c r="Q8" s="14">
        <f t="shared" si="9"/>
        <v>0</v>
      </c>
      <c r="R8" s="14">
        <f t="shared" si="10"/>
        <v>0</v>
      </c>
      <c r="S8" s="14">
        <f t="shared" si="11"/>
        <v>0</v>
      </c>
      <c r="T8" s="14">
        <f t="shared" si="12"/>
        <v>0</v>
      </c>
      <c r="U8" s="14">
        <f t="shared" si="13"/>
        <v>0</v>
      </c>
      <c r="V8" s="14">
        <f t="shared" si="14"/>
        <v>0</v>
      </c>
      <c r="W8" s="14">
        <f t="shared" si="15"/>
        <v>0</v>
      </c>
      <c r="X8" s="24">
        <f t="shared" si="16"/>
        <v>0</v>
      </c>
      <c r="Y8" s="28">
        <f t="shared" si="17"/>
        <v>0</v>
      </c>
      <c r="AJ8" s="46" t="s">
        <v>819</v>
      </c>
    </row>
    <row r="9" spans="1:36" ht="13.5" customHeight="1">
      <c r="A9" s="17">
        <v>5</v>
      </c>
      <c r="B9" s="76"/>
      <c r="C9" s="76"/>
      <c r="D9" s="237"/>
      <c r="E9" s="77"/>
      <c r="F9" s="77"/>
      <c r="G9" s="77"/>
      <c r="H9" s="14">
        <f t="shared" si="0"/>
        <v>0</v>
      </c>
      <c r="I9" s="14">
        <f t="shared" si="1"/>
        <v>0</v>
      </c>
      <c r="J9" s="14">
        <f t="shared" si="2"/>
        <v>0</v>
      </c>
      <c r="K9" s="14">
        <f t="shared" si="3"/>
        <v>0</v>
      </c>
      <c r="L9" s="14">
        <f t="shared" si="4"/>
        <v>0</v>
      </c>
      <c r="M9" s="14">
        <f t="shared" si="5"/>
        <v>0</v>
      </c>
      <c r="N9" s="14">
        <f t="shared" si="6"/>
        <v>0</v>
      </c>
      <c r="O9" s="14">
        <f t="shared" si="7"/>
        <v>0</v>
      </c>
      <c r="P9" s="14">
        <f t="shared" si="8"/>
        <v>0</v>
      </c>
      <c r="Q9" s="14">
        <f t="shared" si="9"/>
        <v>0</v>
      </c>
      <c r="R9" s="14">
        <f t="shared" si="10"/>
        <v>0</v>
      </c>
      <c r="S9" s="14">
        <f t="shared" si="11"/>
        <v>0</v>
      </c>
      <c r="T9" s="14">
        <f t="shared" si="12"/>
        <v>0</v>
      </c>
      <c r="U9" s="14">
        <f t="shared" si="13"/>
        <v>0</v>
      </c>
      <c r="V9" s="14">
        <f t="shared" si="14"/>
        <v>0</v>
      </c>
      <c r="W9" s="14">
        <f t="shared" si="15"/>
        <v>0</v>
      </c>
      <c r="X9" s="24">
        <f t="shared" si="16"/>
        <v>0</v>
      </c>
      <c r="Y9" s="28">
        <f t="shared" si="17"/>
        <v>0</v>
      </c>
      <c r="AJ9" s="46" t="s">
        <v>820</v>
      </c>
    </row>
    <row r="10" spans="1:36" ht="13.5" customHeight="1">
      <c r="A10" s="17">
        <v>6</v>
      </c>
      <c r="B10" s="76"/>
      <c r="C10" s="76"/>
      <c r="D10" s="237"/>
      <c r="E10" s="77"/>
      <c r="F10" s="77"/>
      <c r="G10" s="77"/>
      <c r="H10" s="14">
        <f t="shared" si="0"/>
        <v>0</v>
      </c>
      <c r="I10" s="14">
        <f t="shared" si="1"/>
        <v>0</v>
      </c>
      <c r="J10" s="14">
        <f t="shared" si="2"/>
        <v>0</v>
      </c>
      <c r="K10" s="14">
        <f t="shared" si="3"/>
        <v>0</v>
      </c>
      <c r="L10" s="14">
        <f t="shared" si="4"/>
        <v>0</v>
      </c>
      <c r="M10" s="14">
        <f t="shared" si="5"/>
        <v>0</v>
      </c>
      <c r="N10" s="14">
        <f t="shared" si="6"/>
        <v>0</v>
      </c>
      <c r="O10" s="14">
        <f t="shared" si="7"/>
        <v>0</v>
      </c>
      <c r="P10" s="14">
        <f t="shared" si="8"/>
        <v>0</v>
      </c>
      <c r="Q10" s="14">
        <f t="shared" si="9"/>
        <v>0</v>
      </c>
      <c r="R10" s="14">
        <f t="shared" si="10"/>
        <v>0</v>
      </c>
      <c r="S10" s="14">
        <f t="shared" si="11"/>
        <v>0</v>
      </c>
      <c r="T10" s="14">
        <f t="shared" si="12"/>
        <v>0</v>
      </c>
      <c r="U10" s="14">
        <f t="shared" si="13"/>
        <v>0</v>
      </c>
      <c r="V10" s="14">
        <f t="shared" si="14"/>
        <v>0</v>
      </c>
      <c r="W10" s="14">
        <f t="shared" si="15"/>
        <v>0</v>
      </c>
      <c r="X10" s="24">
        <f t="shared" si="16"/>
        <v>0</v>
      </c>
      <c r="Y10" s="28">
        <f t="shared" si="17"/>
        <v>0</v>
      </c>
      <c r="AJ10" s="46" t="s">
        <v>821</v>
      </c>
    </row>
    <row r="11" spans="1:36" ht="13.5" customHeight="1">
      <c r="A11" s="17">
        <v>7</v>
      </c>
      <c r="B11" s="76"/>
      <c r="C11" s="76"/>
      <c r="D11" s="237"/>
      <c r="E11" s="77"/>
      <c r="F11" s="77"/>
      <c r="G11" s="77"/>
      <c r="H11" s="14">
        <f t="shared" si="0"/>
        <v>0</v>
      </c>
      <c r="I11" s="14">
        <f t="shared" si="1"/>
        <v>0</v>
      </c>
      <c r="J11" s="14">
        <f t="shared" si="2"/>
        <v>0</v>
      </c>
      <c r="K11" s="14">
        <f t="shared" si="3"/>
        <v>0</v>
      </c>
      <c r="L11" s="14">
        <f t="shared" si="4"/>
        <v>0</v>
      </c>
      <c r="M11" s="14">
        <f t="shared" si="5"/>
        <v>0</v>
      </c>
      <c r="N11" s="14">
        <f t="shared" si="6"/>
        <v>0</v>
      </c>
      <c r="O11" s="14">
        <f t="shared" si="7"/>
        <v>0</v>
      </c>
      <c r="P11" s="14">
        <f t="shared" si="8"/>
        <v>0</v>
      </c>
      <c r="Q11" s="14">
        <f t="shared" si="9"/>
        <v>0</v>
      </c>
      <c r="R11" s="14">
        <f t="shared" si="10"/>
        <v>0</v>
      </c>
      <c r="S11" s="14">
        <f t="shared" si="11"/>
        <v>0</v>
      </c>
      <c r="T11" s="14">
        <f t="shared" si="12"/>
        <v>0</v>
      </c>
      <c r="U11" s="14">
        <f t="shared" si="13"/>
        <v>0</v>
      </c>
      <c r="V11" s="14">
        <f t="shared" si="14"/>
        <v>0</v>
      </c>
      <c r="W11" s="14">
        <f t="shared" si="15"/>
        <v>0</v>
      </c>
      <c r="X11" s="24">
        <f t="shared" si="16"/>
        <v>0</v>
      </c>
      <c r="Y11" s="28">
        <f t="shared" si="17"/>
        <v>0</v>
      </c>
      <c r="AJ11" s="46" t="s">
        <v>839</v>
      </c>
    </row>
    <row r="12" spans="1:36" ht="13.5" customHeight="1">
      <c r="A12" s="17">
        <v>8</v>
      </c>
      <c r="B12" s="76"/>
      <c r="C12" s="76"/>
      <c r="D12" s="237"/>
      <c r="E12" s="77"/>
      <c r="F12" s="77"/>
      <c r="G12" s="77"/>
      <c r="H12" s="14">
        <f t="shared" si="0"/>
        <v>0</v>
      </c>
      <c r="I12" s="14">
        <f t="shared" si="1"/>
        <v>0</v>
      </c>
      <c r="J12" s="14">
        <f t="shared" si="2"/>
        <v>0</v>
      </c>
      <c r="K12" s="14">
        <f t="shared" si="3"/>
        <v>0</v>
      </c>
      <c r="L12" s="14">
        <f t="shared" si="4"/>
        <v>0</v>
      </c>
      <c r="M12" s="14">
        <f t="shared" si="5"/>
        <v>0</v>
      </c>
      <c r="N12" s="14">
        <f t="shared" si="6"/>
        <v>0</v>
      </c>
      <c r="O12" s="14">
        <f t="shared" si="7"/>
        <v>0</v>
      </c>
      <c r="P12" s="14">
        <f t="shared" si="8"/>
        <v>0</v>
      </c>
      <c r="Q12" s="14">
        <f t="shared" si="9"/>
        <v>0</v>
      </c>
      <c r="R12" s="14">
        <f t="shared" si="10"/>
        <v>0</v>
      </c>
      <c r="S12" s="14">
        <f t="shared" si="11"/>
        <v>0</v>
      </c>
      <c r="T12" s="14">
        <f t="shared" si="12"/>
        <v>0</v>
      </c>
      <c r="U12" s="14">
        <f t="shared" si="13"/>
        <v>0</v>
      </c>
      <c r="V12" s="14">
        <f t="shared" si="14"/>
        <v>0</v>
      </c>
      <c r="W12" s="14">
        <f t="shared" si="15"/>
        <v>0</v>
      </c>
      <c r="X12" s="24">
        <f t="shared" si="16"/>
        <v>0</v>
      </c>
      <c r="Y12" s="28">
        <f t="shared" si="17"/>
        <v>0</v>
      </c>
      <c r="AJ12" s="46" t="s">
        <v>824</v>
      </c>
    </row>
    <row r="13" spans="1:36" ht="13.5" customHeight="1">
      <c r="A13" s="17">
        <v>9</v>
      </c>
      <c r="B13" s="76"/>
      <c r="C13" s="76"/>
      <c r="D13" s="237"/>
      <c r="E13" s="77"/>
      <c r="F13" s="77"/>
      <c r="G13" s="77"/>
      <c r="H13" s="14">
        <f t="shared" si="0"/>
        <v>0</v>
      </c>
      <c r="I13" s="14">
        <f t="shared" si="1"/>
        <v>0</v>
      </c>
      <c r="J13" s="14">
        <f t="shared" si="2"/>
        <v>0</v>
      </c>
      <c r="K13" s="14">
        <f t="shared" si="3"/>
        <v>0</v>
      </c>
      <c r="L13" s="14">
        <f t="shared" si="4"/>
        <v>0</v>
      </c>
      <c r="M13" s="14">
        <f t="shared" si="5"/>
        <v>0</v>
      </c>
      <c r="N13" s="14">
        <f t="shared" si="6"/>
        <v>0</v>
      </c>
      <c r="O13" s="14">
        <f t="shared" si="7"/>
        <v>0</v>
      </c>
      <c r="P13" s="14">
        <f t="shared" si="8"/>
        <v>0</v>
      </c>
      <c r="Q13" s="14">
        <f t="shared" si="9"/>
        <v>0</v>
      </c>
      <c r="R13" s="14">
        <f t="shared" si="10"/>
        <v>0</v>
      </c>
      <c r="S13" s="14">
        <f t="shared" si="11"/>
        <v>0</v>
      </c>
      <c r="T13" s="14">
        <f t="shared" si="12"/>
        <v>0</v>
      </c>
      <c r="U13" s="14">
        <f t="shared" si="13"/>
        <v>0</v>
      </c>
      <c r="V13" s="14">
        <f t="shared" si="14"/>
        <v>0</v>
      </c>
      <c r="W13" s="14">
        <f t="shared" si="15"/>
        <v>0</v>
      </c>
      <c r="X13" s="24">
        <f t="shared" si="16"/>
        <v>0</v>
      </c>
      <c r="Y13" s="28">
        <f t="shared" si="17"/>
        <v>0</v>
      </c>
      <c r="AJ13" s="46" t="s">
        <v>825</v>
      </c>
    </row>
    <row r="14" spans="1:36" ht="13.5" customHeight="1" thickBot="1">
      <c r="A14" s="30">
        <v>10</v>
      </c>
      <c r="B14" s="78"/>
      <c r="C14" s="78"/>
      <c r="D14" s="238"/>
      <c r="E14" s="79"/>
      <c r="F14" s="79"/>
      <c r="G14" s="79"/>
      <c r="H14" s="31">
        <f t="shared" si="0"/>
        <v>0</v>
      </c>
      <c r="I14" s="31">
        <f t="shared" si="1"/>
        <v>0</v>
      </c>
      <c r="J14" s="31">
        <f t="shared" si="2"/>
        <v>0</v>
      </c>
      <c r="K14" s="31">
        <f t="shared" si="3"/>
        <v>0</v>
      </c>
      <c r="L14" s="31">
        <f t="shared" si="4"/>
        <v>0</v>
      </c>
      <c r="M14" s="31">
        <f t="shared" si="5"/>
        <v>0</v>
      </c>
      <c r="N14" s="31">
        <f t="shared" si="6"/>
        <v>0</v>
      </c>
      <c r="O14" s="31">
        <f t="shared" si="7"/>
        <v>0</v>
      </c>
      <c r="P14" s="31">
        <f t="shared" si="8"/>
        <v>0</v>
      </c>
      <c r="Q14" s="31">
        <f t="shared" si="9"/>
        <v>0</v>
      </c>
      <c r="R14" s="31">
        <f t="shared" si="10"/>
        <v>0</v>
      </c>
      <c r="S14" s="31">
        <f t="shared" si="11"/>
        <v>0</v>
      </c>
      <c r="T14" s="31">
        <f t="shared" si="12"/>
        <v>0</v>
      </c>
      <c r="U14" s="31">
        <f t="shared" si="13"/>
        <v>0</v>
      </c>
      <c r="V14" s="31">
        <f t="shared" si="14"/>
        <v>0</v>
      </c>
      <c r="W14" s="31">
        <f t="shared" si="15"/>
        <v>0</v>
      </c>
      <c r="X14" s="32">
        <f t="shared" si="16"/>
        <v>0</v>
      </c>
      <c r="Y14" s="33">
        <f t="shared" si="17"/>
        <v>0</v>
      </c>
      <c r="AJ14" s="46" t="s">
        <v>826</v>
      </c>
    </row>
    <row r="15" spans="1:36" ht="13.5" customHeight="1">
      <c r="A15" s="15">
        <v>11</v>
      </c>
      <c r="B15" s="74"/>
      <c r="C15" s="74"/>
      <c r="D15" s="236"/>
      <c r="E15" s="75"/>
      <c r="F15" s="75"/>
      <c r="G15" s="75"/>
      <c r="H15" s="16">
        <f t="shared" si="0"/>
        <v>0</v>
      </c>
      <c r="I15" s="16">
        <f t="shared" si="1"/>
        <v>0</v>
      </c>
      <c r="J15" s="16">
        <f t="shared" si="2"/>
        <v>0</v>
      </c>
      <c r="K15" s="16">
        <f t="shared" si="3"/>
        <v>0</v>
      </c>
      <c r="L15" s="16">
        <f t="shared" si="4"/>
        <v>0</v>
      </c>
      <c r="M15" s="16">
        <f t="shared" si="5"/>
        <v>0</v>
      </c>
      <c r="N15" s="16">
        <f t="shared" si="6"/>
        <v>0</v>
      </c>
      <c r="O15" s="16">
        <f t="shared" si="7"/>
        <v>0</v>
      </c>
      <c r="P15" s="16">
        <f t="shared" si="8"/>
        <v>0</v>
      </c>
      <c r="Q15" s="16">
        <f t="shared" si="9"/>
        <v>0</v>
      </c>
      <c r="R15" s="16">
        <f t="shared" si="10"/>
        <v>0</v>
      </c>
      <c r="S15" s="16">
        <f t="shared" si="11"/>
        <v>0</v>
      </c>
      <c r="T15" s="16">
        <f t="shared" si="12"/>
        <v>0</v>
      </c>
      <c r="U15" s="16">
        <f t="shared" si="13"/>
        <v>0</v>
      </c>
      <c r="V15" s="16">
        <f t="shared" si="14"/>
        <v>0</v>
      </c>
      <c r="W15" s="16">
        <f t="shared" si="15"/>
        <v>0</v>
      </c>
      <c r="X15" s="23">
        <f t="shared" si="16"/>
        <v>0</v>
      </c>
      <c r="Y15" s="27">
        <f t="shared" si="17"/>
        <v>0</v>
      </c>
      <c r="AJ15" s="46" t="s">
        <v>827</v>
      </c>
    </row>
    <row r="16" spans="1:36" ht="13.5" customHeight="1">
      <c r="A16" s="17">
        <v>12</v>
      </c>
      <c r="B16" s="76"/>
      <c r="C16" s="76"/>
      <c r="D16" s="237"/>
      <c r="E16" s="77"/>
      <c r="F16" s="77"/>
      <c r="G16" s="77"/>
      <c r="H16" s="14">
        <f t="shared" si="0"/>
        <v>0</v>
      </c>
      <c r="I16" s="14">
        <f t="shared" si="1"/>
        <v>0</v>
      </c>
      <c r="J16" s="14">
        <f t="shared" si="2"/>
        <v>0</v>
      </c>
      <c r="K16" s="14">
        <f t="shared" si="3"/>
        <v>0</v>
      </c>
      <c r="L16" s="14">
        <f t="shared" si="4"/>
        <v>0</v>
      </c>
      <c r="M16" s="14">
        <f t="shared" si="5"/>
        <v>0</v>
      </c>
      <c r="N16" s="14">
        <f t="shared" si="6"/>
        <v>0</v>
      </c>
      <c r="O16" s="14">
        <f t="shared" si="7"/>
        <v>0</v>
      </c>
      <c r="P16" s="14">
        <f t="shared" si="8"/>
        <v>0</v>
      </c>
      <c r="Q16" s="14">
        <f t="shared" si="9"/>
        <v>0</v>
      </c>
      <c r="R16" s="14">
        <f t="shared" si="10"/>
        <v>0</v>
      </c>
      <c r="S16" s="14">
        <f t="shared" si="11"/>
        <v>0</v>
      </c>
      <c r="T16" s="14">
        <f t="shared" si="12"/>
        <v>0</v>
      </c>
      <c r="U16" s="14">
        <f t="shared" si="13"/>
        <v>0</v>
      </c>
      <c r="V16" s="14">
        <f t="shared" si="14"/>
        <v>0</v>
      </c>
      <c r="W16" s="14">
        <f t="shared" si="15"/>
        <v>0</v>
      </c>
      <c r="X16" s="24">
        <f t="shared" si="16"/>
        <v>0</v>
      </c>
      <c r="Y16" s="28">
        <f t="shared" si="17"/>
        <v>0</v>
      </c>
      <c r="AJ16" s="46" t="s">
        <v>844</v>
      </c>
    </row>
    <row r="17" spans="1:36" ht="13.5" customHeight="1">
      <c r="A17" s="17">
        <v>13</v>
      </c>
      <c r="B17" s="76"/>
      <c r="C17" s="76"/>
      <c r="D17" s="237"/>
      <c r="E17" s="77"/>
      <c r="F17" s="77"/>
      <c r="G17" s="77"/>
      <c r="H17" s="14">
        <f t="shared" si="0"/>
        <v>0</v>
      </c>
      <c r="I17" s="14">
        <f t="shared" si="1"/>
        <v>0</v>
      </c>
      <c r="J17" s="14">
        <f t="shared" si="2"/>
        <v>0</v>
      </c>
      <c r="K17" s="14">
        <f t="shared" si="3"/>
        <v>0</v>
      </c>
      <c r="L17" s="14">
        <f t="shared" si="4"/>
        <v>0</v>
      </c>
      <c r="M17" s="14">
        <f t="shared" si="5"/>
        <v>0</v>
      </c>
      <c r="N17" s="14">
        <f t="shared" si="6"/>
        <v>0</v>
      </c>
      <c r="O17" s="14">
        <f t="shared" si="7"/>
        <v>0</v>
      </c>
      <c r="P17" s="14">
        <f t="shared" si="8"/>
        <v>0</v>
      </c>
      <c r="Q17" s="14">
        <f t="shared" si="9"/>
        <v>0</v>
      </c>
      <c r="R17" s="14">
        <f t="shared" si="10"/>
        <v>0</v>
      </c>
      <c r="S17" s="14">
        <f t="shared" si="11"/>
        <v>0</v>
      </c>
      <c r="T17" s="14">
        <f t="shared" si="12"/>
        <v>0</v>
      </c>
      <c r="U17" s="14">
        <f t="shared" si="13"/>
        <v>0</v>
      </c>
      <c r="V17" s="14">
        <f t="shared" si="14"/>
        <v>0</v>
      </c>
      <c r="W17" s="14">
        <f t="shared" si="15"/>
        <v>0</v>
      </c>
      <c r="X17" s="24">
        <f t="shared" si="16"/>
        <v>0</v>
      </c>
      <c r="Y17" s="28">
        <f t="shared" si="17"/>
        <v>0</v>
      </c>
      <c r="AJ17" s="46" t="s">
        <v>846</v>
      </c>
    </row>
    <row r="18" spans="1:36" ht="13.5" customHeight="1">
      <c r="A18" s="17">
        <v>14</v>
      </c>
      <c r="B18" s="76"/>
      <c r="C18" s="76"/>
      <c r="D18" s="237"/>
      <c r="E18" s="77"/>
      <c r="F18" s="77"/>
      <c r="G18" s="77"/>
      <c r="H18" s="14">
        <f t="shared" si="0"/>
        <v>0</v>
      </c>
      <c r="I18" s="14">
        <f t="shared" si="1"/>
        <v>0</v>
      </c>
      <c r="J18" s="14">
        <f t="shared" si="2"/>
        <v>0</v>
      </c>
      <c r="K18" s="14">
        <f t="shared" si="3"/>
        <v>0</v>
      </c>
      <c r="L18" s="14">
        <f t="shared" si="4"/>
        <v>0</v>
      </c>
      <c r="M18" s="14">
        <f t="shared" si="5"/>
        <v>0</v>
      </c>
      <c r="N18" s="14">
        <f t="shared" si="6"/>
        <v>0</v>
      </c>
      <c r="O18" s="14">
        <f t="shared" si="7"/>
        <v>0</v>
      </c>
      <c r="P18" s="14">
        <f t="shared" si="8"/>
        <v>0</v>
      </c>
      <c r="Q18" s="14">
        <f t="shared" si="9"/>
        <v>0</v>
      </c>
      <c r="R18" s="14">
        <f t="shared" si="10"/>
        <v>0</v>
      </c>
      <c r="S18" s="14">
        <f t="shared" si="11"/>
        <v>0</v>
      </c>
      <c r="T18" s="14">
        <f t="shared" si="12"/>
        <v>0</v>
      </c>
      <c r="U18" s="14">
        <f t="shared" si="13"/>
        <v>0</v>
      </c>
      <c r="V18" s="14">
        <f t="shared" si="14"/>
        <v>0</v>
      </c>
      <c r="W18" s="14">
        <f t="shared" si="15"/>
        <v>0</v>
      </c>
      <c r="X18" s="24">
        <f t="shared" si="16"/>
        <v>0</v>
      </c>
      <c r="Y18" s="28">
        <f t="shared" si="17"/>
        <v>0</v>
      </c>
      <c r="AJ18" s="46" t="s">
        <v>828</v>
      </c>
    </row>
    <row r="19" spans="1:36" ht="13.5" customHeight="1">
      <c r="A19" s="17">
        <v>15</v>
      </c>
      <c r="B19" s="76"/>
      <c r="C19" s="76"/>
      <c r="D19" s="237"/>
      <c r="E19" s="77"/>
      <c r="F19" s="77"/>
      <c r="G19" s="77"/>
      <c r="H19" s="14">
        <f t="shared" si="0"/>
        <v>0</v>
      </c>
      <c r="I19" s="14">
        <f t="shared" si="1"/>
        <v>0</v>
      </c>
      <c r="J19" s="14">
        <f t="shared" si="2"/>
        <v>0</v>
      </c>
      <c r="K19" s="14">
        <f t="shared" si="3"/>
        <v>0</v>
      </c>
      <c r="L19" s="14">
        <f t="shared" si="4"/>
        <v>0</v>
      </c>
      <c r="M19" s="14">
        <f t="shared" si="5"/>
        <v>0</v>
      </c>
      <c r="N19" s="14">
        <f t="shared" si="6"/>
        <v>0</v>
      </c>
      <c r="O19" s="14">
        <f t="shared" si="7"/>
        <v>0</v>
      </c>
      <c r="P19" s="14">
        <f t="shared" si="8"/>
        <v>0</v>
      </c>
      <c r="Q19" s="14">
        <f t="shared" si="9"/>
        <v>0</v>
      </c>
      <c r="R19" s="14">
        <f t="shared" si="10"/>
        <v>0</v>
      </c>
      <c r="S19" s="14">
        <f t="shared" si="11"/>
        <v>0</v>
      </c>
      <c r="T19" s="14">
        <f t="shared" si="12"/>
        <v>0</v>
      </c>
      <c r="U19" s="14">
        <f t="shared" si="13"/>
        <v>0</v>
      </c>
      <c r="V19" s="14">
        <f t="shared" si="14"/>
        <v>0</v>
      </c>
      <c r="W19" s="14">
        <f t="shared" si="15"/>
        <v>0</v>
      </c>
      <c r="X19" s="24">
        <f t="shared" si="16"/>
        <v>0</v>
      </c>
      <c r="Y19" s="28">
        <f t="shared" si="17"/>
        <v>0</v>
      </c>
      <c r="AJ19" s="46" t="s">
        <v>829</v>
      </c>
    </row>
    <row r="20" spans="1:36" ht="13.5" customHeight="1">
      <c r="A20" s="17">
        <v>16</v>
      </c>
      <c r="B20" s="76"/>
      <c r="C20" s="76"/>
      <c r="D20" s="237"/>
      <c r="E20" s="77"/>
      <c r="F20" s="77"/>
      <c r="G20" s="77"/>
      <c r="H20" s="14">
        <f t="shared" si="0"/>
        <v>0</v>
      </c>
      <c r="I20" s="14">
        <f t="shared" si="1"/>
        <v>0</v>
      </c>
      <c r="J20" s="14">
        <f t="shared" si="2"/>
        <v>0</v>
      </c>
      <c r="K20" s="14">
        <f t="shared" si="3"/>
        <v>0</v>
      </c>
      <c r="L20" s="14">
        <f t="shared" si="4"/>
        <v>0</v>
      </c>
      <c r="M20" s="14">
        <f t="shared" si="5"/>
        <v>0</v>
      </c>
      <c r="N20" s="14">
        <f t="shared" si="6"/>
        <v>0</v>
      </c>
      <c r="O20" s="14">
        <f t="shared" si="7"/>
        <v>0</v>
      </c>
      <c r="P20" s="14">
        <f t="shared" si="8"/>
        <v>0</v>
      </c>
      <c r="Q20" s="14">
        <f t="shared" si="9"/>
        <v>0</v>
      </c>
      <c r="R20" s="14">
        <f t="shared" si="10"/>
        <v>0</v>
      </c>
      <c r="S20" s="14">
        <f t="shared" si="11"/>
        <v>0</v>
      </c>
      <c r="T20" s="14">
        <f t="shared" si="12"/>
        <v>0</v>
      </c>
      <c r="U20" s="14">
        <f t="shared" si="13"/>
        <v>0</v>
      </c>
      <c r="V20" s="14">
        <f t="shared" si="14"/>
        <v>0</v>
      </c>
      <c r="W20" s="14">
        <f t="shared" si="15"/>
        <v>0</v>
      </c>
      <c r="X20" s="24">
        <f t="shared" si="16"/>
        <v>0</v>
      </c>
      <c r="Y20" s="28">
        <f t="shared" si="17"/>
        <v>0</v>
      </c>
      <c r="AJ20" s="46" t="s">
        <v>830</v>
      </c>
    </row>
    <row r="21" spans="1:36" ht="13.5" customHeight="1">
      <c r="A21" s="17">
        <v>17</v>
      </c>
      <c r="B21" s="76"/>
      <c r="C21" s="76"/>
      <c r="D21" s="237"/>
      <c r="E21" s="77"/>
      <c r="F21" s="77"/>
      <c r="G21" s="77"/>
      <c r="H21" s="14">
        <f t="shared" si="0"/>
        <v>0</v>
      </c>
      <c r="I21" s="14">
        <f t="shared" si="1"/>
        <v>0</v>
      </c>
      <c r="J21" s="14">
        <f t="shared" si="2"/>
        <v>0</v>
      </c>
      <c r="K21" s="14">
        <f t="shared" si="3"/>
        <v>0</v>
      </c>
      <c r="L21" s="14">
        <f t="shared" si="4"/>
        <v>0</v>
      </c>
      <c r="M21" s="14">
        <f t="shared" si="5"/>
        <v>0</v>
      </c>
      <c r="N21" s="14">
        <f t="shared" si="6"/>
        <v>0</v>
      </c>
      <c r="O21" s="14">
        <f t="shared" si="7"/>
        <v>0</v>
      </c>
      <c r="P21" s="14">
        <f t="shared" si="8"/>
        <v>0</v>
      </c>
      <c r="Q21" s="14">
        <f t="shared" si="9"/>
        <v>0</v>
      </c>
      <c r="R21" s="14">
        <f t="shared" si="10"/>
        <v>0</v>
      </c>
      <c r="S21" s="14">
        <f t="shared" si="11"/>
        <v>0</v>
      </c>
      <c r="T21" s="14">
        <f t="shared" si="12"/>
        <v>0</v>
      </c>
      <c r="U21" s="14">
        <f t="shared" si="13"/>
        <v>0</v>
      </c>
      <c r="V21" s="14">
        <f t="shared" si="14"/>
        <v>0</v>
      </c>
      <c r="W21" s="14">
        <f t="shared" si="15"/>
        <v>0</v>
      </c>
      <c r="X21" s="24">
        <f t="shared" si="16"/>
        <v>0</v>
      </c>
      <c r="Y21" s="28">
        <f t="shared" si="17"/>
        <v>0</v>
      </c>
      <c r="AJ21" s="46" t="s">
        <v>831</v>
      </c>
    </row>
    <row r="22" spans="1:36" ht="13.5" customHeight="1">
      <c r="A22" s="17">
        <v>18</v>
      </c>
      <c r="B22" s="76"/>
      <c r="C22" s="76"/>
      <c r="D22" s="237"/>
      <c r="E22" s="77"/>
      <c r="F22" s="77"/>
      <c r="G22" s="77"/>
      <c r="H22" s="14">
        <f t="shared" si="0"/>
        <v>0</v>
      </c>
      <c r="I22" s="14">
        <f t="shared" si="1"/>
        <v>0</v>
      </c>
      <c r="J22" s="14">
        <f t="shared" si="2"/>
        <v>0</v>
      </c>
      <c r="K22" s="14">
        <f t="shared" si="3"/>
        <v>0</v>
      </c>
      <c r="L22" s="14">
        <f t="shared" si="4"/>
        <v>0</v>
      </c>
      <c r="M22" s="14">
        <f t="shared" si="5"/>
        <v>0</v>
      </c>
      <c r="N22" s="14">
        <f t="shared" si="6"/>
        <v>0</v>
      </c>
      <c r="O22" s="14">
        <f t="shared" si="7"/>
        <v>0</v>
      </c>
      <c r="P22" s="14">
        <f t="shared" si="8"/>
        <v>0</v>
      </c>
      <c r="Q22" s="14">
        <f t="shared" si="9"/>
        <v>0</v>
      </c>
      <c r="R22" s="14">
        <f t="shared" si="10"/>
        <v>0</v>
      </c>
      <c r="S22" s="14">
        <f t="shared" si="11"/>
        <v>0</v>
      </c>
      <c r="T22" s="14">
        <f t="shared" si="12"/>
        <v>0</v>
      </c>
      <c r="U22" s="14">
        <f t="shared" si="13"/>
        <v>0</v>
      </c>
      <c r="V22" s="14">
        <f t="shared" si="14"/>
        <v>0</v>
      </c>
      <c r="W22" s="14">
        <f t="shared" si="15"/>
        <v>0</v>
      </c>
      <c r="X22" s="24">
        <f t="shared" si="16"/>
        <v>0</v>
      </c>
      <c r="Y22" s="28">
        <f t="shared" si="17"/>
        <v>0</v>
      </c>
      <c r="AJ22" s="46" t="s">
        <v>832</v>
      </c>
    </row>
    <row r="23" spans="1:36" ht="13.5" customHeight="1">
      <c r="A23" s="17">
        <v>19</v>
      </c>
      <c r="B23" s="76"/>
      <c r="C23" s="76"/>
      <c r="D23" s="237"/>
      <c r="E23" s="77"/>
      <c r="F23" s="77"/>
      <c r="G23" s="77"/>
      <c r="H23" s="14">
        <f t="shared" si="0"/>
        <v>0</v>
      </c>
      <c r="I23" s="14">
        <f t="shared" si="1"/>
        <v>0</v>
      </c>
      <c r="J23" s="14">
        <f t="shared" si="2"/>
        <v>0</v>
      </c>
      <c r="K23" s="14">
        <f t="shared" si="3"/>
        <v>0</v>
      </c>
      <c r="L23" s="14">
        <f t="shared" si="4"/>
        <v>0</v>
      </c>
      <c r="M23" s="14">
        <f t="shared" si="5"/>
        <v>0</v>
      </c>
      <c r="N23" s="14">
        <f t="shared" si="6"/>
        <v>0</v>
      </c>
      <c r="O23" s="14">
        <f t="shared" si="7"/>
        <v>0</v>
      </c>
      <c r="P23" s="14">
        <f t="shared" si="8"/>
        <v>0</v>
      </c>
      <c r="Q23" s="14">
        <f t="shared" si="9"/>
        <v>0</v>
      </c>
      <c r="R23" s="14">
        <f t="shared" si="10"/>
        <v>0</v>
      </c>
      <c r="S23" s="14">
        <f t="shared" si="11"/>
        <v>0</v>
      </c>
      <c r="T23" s="14">
        <f t="shared" si="12"/>
        <v>0</v>
      </c>
      <c r="U23" s="14">
        <f t="shared" si="13"/>
        <v>0</v>
      </c>
      <c r="V23" s="14">
        <f t="shared" si="14"/>
        <v>0</v>
      </c>
      <c r="W23" s="14">
        <f t="shared" si="15"/>
        <v>0</v>
      </c>
      <c r="X23" s="24">
        <f t="shared" si="16"/>
        <v>0</v>
      </c>
      <c r="Y23" s="28">
        <f t="shared" si="17"/>
        <v>0</v>
      </c>
      <c r="AJ23" s="46" t="s">
        <v>833</v>
      </c>
    </row>
    <row r="24" spans="1:36" ht="13.5" customHeight="1" thickBot="1">
      <c r="A24" s="18">
        <v>20</v>
      </c>
      <c r="B24" s="80"/>
      <c r="C24" s="80"/>
      <c r="D24" s="239"/>
      <c r="E24" s="81"/>
      <c r="F24" s="81"/>
      <c r="G24" s="81"/>
      <c r="H24" s="19">
        <f t="shared" si="0"/>
        <v>0</v>
      </c>
      <c r="I24" s="19">
        <f t="shared" si="1"/>
        <v>0</v>
      </c>
      <c r="J24" s="19">
        <f t="shared" si="2"/>
        <v>0</v>
      </c>
      <c r="K24" s="19">
        <f t="shared" si="3"/>
        <v>0</v>
      </c>
      <c r="L24" s="19">
        <f t="shared" si="4"/>
        <v>0</v>
      </c>
      <c r="M24" s="19">
        <f t="shared" si="5"/>
        <v>0</v>
      </c>
      <c r="N24" s="19">
        <f t="shared" si="6"/>
        <v>0</v>
      </c>
      <c r="O24" s="19">
        <f t="shared" si="7"/>
        <v>0</v>
      </c>
      <c r="P24" s="19">
        <f t="shared" si="8"/>
        <v>0</v>
      </c>
      <c r="Q24" s="19">
        <f t="shared" si="9"/>
        <v>0</v>
      </c>
      <c r="R24" s="19">
        <f t="shared" si="10"/>
        <v>0</v>
      </c>
      <c r="S24" s="19">
        <f t="shared" si="11"/>
        <v>0</v>
      </c>
      <c r="T24" s="19">
        <f t="shared" si="12"/>
        <v>0</v>
      </c>
      <c r="U24" s="19">
        <f t="shared" si="13"/>
        <v>0</v>
      </c>
      <c r="V24" s="19">
        <f t="shared" si="14"/>
        <v>0</v>
      </c>
      <c r="W24" s="19">
        <f t="shared" si="15"/>
        <v>0</v>
      </c>
      <c r="X24" s="25">
        <f t="shared" si="16"/>
        <v>0</v>
      </c>
      <c r="Y24" s="29">
        <f t="shared" si="17"/>
        <v>0</v>
      </c>
      <c r="AJ24" s="46" t="s">
        <v>834</v>
      </c>
    </row>
    <row r="25" spans="1:36" ht="13.5" customHeight="1">
      <c r="A25" s="15">
        <v>21</v>
      </c>
      <c r="B25" s="74"/>
      <c r="C25" s="74"/>
      <c r="D25" s="236"/>
      <c r="E25" s="75"/>
      <c r="F25" s="75"/>
      <c r="G25" s="75"/>
      <c r="H25" s="16">
        <f t="shared" si="0"/>
        <v>0</v>
      </c>
      <c r="I25" s="16">
        <f t="shared" si="1"/>
        <v>0</v>
      </c>
      <c r="J25" s="16">
        <f t="shared" si="2"/>
        <v>0</v>
      </c>
      <c r="K25" s="16">
        <f t="shared" si="3"/>
        <v>0</v>
      </c>
      <c r="L25" s="16">
        <f t="shared" si="4"/>
        <v>0</v>
      </c>
      <c r="M25" s="16">
        <f t="shared" si="5"/>
        <v>0</v>
      </c>
      <c r="N25" s="16">
        <f t="shared" si="6"/>
        <v>0</v>
      </c>
      <c r="O25" s="16">
        <f t="shared" si="7"/>
        <v>0</v>
      </c>
      <c r="P25" s="16">
        <f t="shared" si="8"/>
        <v>0</v>
      </c>
      <c r="Q25" s="16">
        <f t="shared" si="9"/>
        <v>0</v>
      </c>
      <c r="R25" s="16">
        <f t="shared" si="10"/>
        <v>0</v>
      </c>
      <c r="S25" s="16">
        <f t="shared" si="11"/>
        <v>0</v>
      </c>
      <c r="T25" s="16">
        <f t="shared" si="12"/>
        <v>0</v>
      </c>
      <c r="U25" s="16">
        <f t="shared" si="13"/>
        <v>0</v>
      </c>
      <c r="V25" s="16">
        <f t="shared" si="14"/>
        <v>0</v>
      </c>
      <c r="W25" s="16">
        <f t="shared" si="15"/>
        <v>0</v>
      </c>
      <c r="X25" s="23">
        <f t="shared" si="16"/>
        <v>0</v>
      </c>
      <c r="Y25" s="27">
        <f t="shared" si="17"/>
        <v>0</v>
      </c>
      <c r="AJ25" s="4" t="s">
        <v>890</v>
      </c>
    </row>
    <row r="26" spans="1:25" ht="13.5" customHeight="1">
      <c r="A26" s="17">
        <v>22</v>
      </c>
      <c r="B26" s="76"/>
      <c r="C26" s="76"/>
      <c r="D26" s="237"/>
      <c r="E26" s="77"/>
      <c r="F26" s="77"/>
      <c r="G26" s="77"/>
      <c r="H26" s="14">
        <f t="shared" si="0"/>
        <v>0</v>
      </c>
      <c r="I26" s="14">
        <f t="shared" si="1"/>
        <v>0</v>
      </c>
      <c r="J26" s="14">
        <f t="shared" si="2"/>
        <v>0</v>
      </c>
      <c r="K26" s="14">
        <f t="shared" si="3"/>
        <v>0</v>
      </c>
      <c r="L26" s="14">
        <f t="shared" si="4"/>
        <v>0</v>
      </c>
      <c r="M26" s="14">
        <f t="shared" si="5"/>
        <v>0</v>
      </c>
      <c r="N26" s="14">
        <f t="shared" si="6"/>
        <v>0</v>
      </c>
      <c r="O26" s="14">
        <f t="shared" si="7"/>
        <v>0</v>
      </c>
      <c r="P26" s="14">
        <f t="shared" si="8"/>
        <v>0</v>
      </c>
      <c r="Q26" s="14">
        <f t="shared" si="9"/>
        <v>0</v>
      </c>
      <c r="R26" s="14">
        <f t="shared" si="10"/>
        <v>0</v>
      </c>
      <c r="S26" s="14">
        <f t="shared" si="11"/>
        <v>0</v>
      </c>
      <c r="T26" s="14">
        <f t="shared" si="12"/>
        <v>0</v>
      </c>
      <c r="U26" s="14">
        <f t="shared" si="13"/>
        <v>0</v>
      </c>
      <c r="V26" s="14">
        <f t="shared" si="14"/>
        <v>0</v>
      </c>
      <c r="W26" s="14">
        <f t="shared" si="15"/>
        <v>0</v>
      </c>
      <c r="X26" s="24">
        <f t="shared" si="16"/>
        <v>0</v>
      </c>
      <c r="Y26" s="28">
        <f t="shared" si="17"/>
        <v>0</v>
      </c>
    </row>
    <row r="27" spans="1:25" ht="13.5" customHeight="1">
      <c r="A27" s="17">
        <v>23</v>
      </c>
      <c r="B27" s="76"/>
      <c r="C27" s="76"/>
      <c r="D27" s="237"/>
      <c r="E27" s="77"/>
      <c r="F27" s="77"/>
      <c r="G27" s="77"/>
      <c r="H27" s="14">
        <f t="shared" si="0"/>
        <v>0</v>
      </c>
      <c r="I27" s="14">
        <f t="shared" si="1"/>
        <v>0</v>
      </c>
      <c r="J27" s="14">
        <f t="shared" si="2"/>
        <v>0</v>
      </c>
      <c r="K27" s="14">
        <f t="shared" si="3"/>
        <v>0</v>
      </c>
      <c r="L27" s="14">
        <f t="shared" si="4"/>
        <v>0</v>
      </c>
      <c r="M27" s="14">
        <f t="shared" si="5"/>
        <v>0</v>
      </c>
      <c r="N27" s="14">
        <f t="shared" si="6"/>
        <v>0</v>
      </c>
      <c r="O27" s="14">
        <f t="shared" si="7"/>
        <v>0</v>
      </c>
      <c r="P27" s="14">
        <f t="shared" si="8"/>
        <v>0</v>
      </c>
      <c r="Q27" s="14">
        <f t="shared" si="9"/>
        <v>0</v>
      </c>
      <c r="R27" s="14">
        <f t="shared" si="10"/>
        <v>0</v>
      </c>
      <c r="S27" s="14">
        <f t="shared" si="11"/>
        <v>0</v>
      </c>
      <c r="T27" s="14">
        <f t="shared" si="12"/>
        <v>0</v>
      </c>
      <c r="U27" s="14">
        <f t="shared" si="13"/>
        <v>0</v>
      </c>
      <c r="V27" s="14">
        <f t="shared" si="14"/>
        <v>0</v>
      </c>
      <c r="W27" s="14">
        <f t="shared" si="15"/>
        <v>0</v>
      </c>
      <c r="X27" s="24">
        <f t="shared" si="16"/>
        <v>0</v>
      </c>
      <c r="Y27" s="28">
        <f t="shared" si="17"/>
        <v>0</v>
      </c>
    </row>
    <row r="28" spans="1:25" ht="13.5" customHeight="1">
      <c r="A28" s="17">
        <v>24</v>
      </c>
      <c r="B28" s="76"/>
      <c r="C28" s="76"/>
      <c r="D28" s="237"/>
      <c r="E28" s="77"/>
      <c r="F28" s="77"/>
      <c r="G28" s="77"/>
      <c r="H28" s="14">
        <f t="shared" si="0"/>
        <v>0</v>
      </c>
      <c r="I28" s="14">
        <f t="shared" si="1"/>
        <v>0</v>
      </c>
      <c r="J28" s="14">
        <f t="shared" si="2"/>
        <v>0</v>
      </c>
      <c r="K28" s="14">
        <f t="shared" si="3"/>
        <v>0</v>
      </c>
      <c r="L28" s="14">
        <f t="shared" si="4"/>
        <v>0</v>
      </c>
      <c r="M28" s="14">
        <f t="shared" si="5"/>
        <v>0</v>
      </c>
      <c r="N28" s="14">
        <f t="shared" si="6"/>
        <v>0</v>
      </c>
      <c r="O28" s="14">
        <f t="shared" si="7"/>
        <v>0</v>
      </c>
      <c r="P28" s="14">
        <f t="shared" si="8"/>
        <v>0</v>
      </c>
      <c r="Q28" s="14">
        <f t="shared" si="9"/>
        <v>0</v>
      </c>
      <c r="R28" s="14">
        <f t="shared" si="10"/>
        <v>0</v>
      </c>
      <c r="S28" s="14">
        <f t="shared" si="11"/>
        <v>0</v>
      </c>
      <c r="T28" s="14">
        <f t="shared" si="12"/>
        <v>0</v>
      </c>
      <c r="U28" s="14">
        <f t="shared" si="13"/>
        <v>0</v>
      </c>
      <c r="V28" s="14">
        <f t="shared" si="14"/>
        <v>0</v>
      </c>
      <c r="W28" s="14">
        <f t="shared" si="15"/>
        <v>0</v>
      </c>
      <c r="X28" s="24">
        <f t="shared" si="16"/>
        <v>0</v>
      </c>
      <c r="Y28" s="28">
        <f t="shared" si="17"/>
        <v>0</v>
      </c>
    </row>
    <row r="29" spans="1:25" ht="13.5" customHeight="1">
      <c r="A29" s="17">
        <v>25</v>
      </c>
      <c r="B29" s="76"/>
      <c r="C29" s="76"/>
      <c r="D29" s="237"/>
      <c r="E29" s="77"/>
      <c r="F29" s="77"/>
      <c r="G29" s="77"/>
      <c r="H29" s="14">
        <f t="shared" si="0"/>
        <v>0</v>
      </c>
      <c r="I29" s="14">
        <f t="shared" si="1"/>
        <v>0</v>
      </c>
      <c r="J29" s="14">
        <f t="shared" si="2"/>
        <v>0</v>
      </c>
      <c r="K29" s="14">
        <f t="shared" si="3"/>
        <v>0</v>
      </c>
      <c r="L29" s="14">
        <f t="shared" si="4"/>
        <v>0</v>
      </c>
      <c r="M29" s="14">
        <f t="shared" si="5"/>
        <v>0</v>
      </c>
      <c r="N29" s="14">
        <f t="shared" si="6"/>
        <v>0</v>
      </c>
      <c r="O29" s="14">
        <f t="shared" si="7"/>
        <v>0</v>
      </c>
      <c r="P29" s="14">
        <f t="shared" si="8"/>
        <v>0</v>
      </c>
      <c r="Q29" s="14">
        <f t="shared" si="9"/>
        <v>0</v>
      </c>
      <c r="R29" s="14">
        <f t="shared" si="10"/>
        <v>0</v>
      </c>
      <c r="S29" s="14">
        <f t="shared" si="11"/>
        <v>0</v>
      </c>
      <c r="T29" s="14">
        <f t="shared" si="12"/>
        <v>0</v>
      </c>
      <c r="U29" s="14">
        <f t="shared" si="13"/>
        <v>0</v>
      </c>
      <c r="V29" s="14">
        <f t="shared" si="14"/>
        <v>0</v>
      </c>
      <c r="W29" s="14">
        <f t="shared" si="15"/>
        <v>0</v>
      </c>
      <c r="X29" s="24">
        <f t="shared" si="16"/>
        <v>0</v>
      </c>
      <c r="Y29" s="28">
        <f t="shared" si="17"/>
        <v>0</v>
      </c>
    </row>
    <row r="30" spans="1:25" ht="13.5" customHeight="1">
      <c r="A30" s="17">
        <v>26</v>
      </c>
      <c r="B30" s="76"/>
      <c r="C30" s="76"/>
      <c r="D30" s="237"/>
      <c r="E30" s="77"/>
      <c r="F30" s="77"/>
      <c r="G30" s="77"/>
      <c r="H30" s="14">
        <f t="shared" si="0"/>
        <v>0</v>
      </c>
      <c r="I30" s="14">
        <f t="shared" si="1"/>
        <v>0</v>
      </c>
      <c r="J30" s="14">
        <f t="shared" si="2"/>
        <v>0</v>
      </c>
      <c r="K30" s="14">
        <f t="shared" si="3"/>
        <v>0</v>
      </c>
      <c r="L30" s="14">
        <f t="shared" si="4"/>
        <v>0</v>
      </c>
      <c r="M30" s="14">
        <f t="shared" si="5"/>
        <v>0</v>
      </c>
      <c r="N30" s="14">
        <f t="shared" si="6"/>
        <v>0</v>
      </c>
      <c r="O30" s="14">
        <f t="shared" si="7"/>
        <v>0</v>
      </c>
      <c r="P30" s="14">
        <f t="shared" si="8"/>
        <v>0</v>
      </c>
      <c r="Q30" s="14">
        <f t="shared" si="9"/>
        <v>0</v>
      </c>
      <c r="R30" s="14">
        <f t="shared" si="10"/>
        <v>0</v>
      </c>
      <c r="S30" s="14">
        <f t="shared" si="11"/>
        <v>0</v>
      </c>
      <c r="T30" s="14">
        <f t="shared" si="12"/>
        <v>0</v>
      </c>
      <c r="U30" s="14">
        <f t="shared" si="13"/>
        <v>0</v>
      </c>
      <c r="V30" s="14">
        <f t="shared" si="14"/>
        <v>0</v>
      </c>
      <c r="W30" s="14">
        <f t="shared" si="15"/>
        <v>0</v>
      </c>
      <c r="X30" s="24">
        <f t="shared" si="16"/>
        <v>0</v>
      </c>
      <c r="Y30" s="28">
        <f t="shared" si="17"/>
        <v>0</v>
      </c>
    </row>
    <row r="31" spans="1:25" ht="13.5" customHeight="1">
      <c r="A31" s="17">
        <v>27</v>
      </c>
      <c r="B31" s="76"/>
      <c r="C31" s="76"/>
      <c r="D31" s="237"/>
      <c r="E31" s="77"/>
      <c r="F31" s="77"/>
      <c r="G31" s="77"/>
      <c r="H31" s="14">
        <f t="shared" si="0"/>
        <v>0</v>
      </c>
      <c r="I31" s="14">
        <f t="shared" si="1"/>
        <v>0</v>
      </c>
      <c r="J31" s="14">
        <f t="shared" si="2"/>
        <v>0</v>
      </c>
      <c r="K31" s="14">
        <f t="shared" si="3"/>
        <v>0</v>
      </c>
      <c r="L31" s="14">
        <f t="shared" si="4"/>
        <v>0</v>
      </c>
      <c r="M31" s="14">
        <f t="shared" si="5"/>
        <v>0</v>
      </c>
      <c r="N31" s="14">
        <f t="shared" si="6"/>
        <v>0</v>
      </c>
      <c r="O31" s="14">
        <f t="shared" si="7"/>
        <v>0</v>
      </c>
      <c r="P31" s="14">
        <f t="shared" si="8"/>
        <v>0</v>
      </c>
      <c r="Q31" s="14">
        <f t="shared" si="9"/>
        <v>0</v>
      </c>
      <c r="R31" s="14">
        <f t="shared" si="10"/>
        <v>0</v>
      </c>
      <c r="S31" s="14">
        <f t="shared" si="11"/>
        <v>0</v>
      </c>
      <c r="T31" s="14">
        <f t="shared" si="12"/>
        <v>0</v>
      </c>
      <c r="U31" s="14">
        <f t="shared" si="13"/>
        <v>0</v>
      </c>
      <c r="V31" s="14">
        <f t="shared" si="14"/>
        <v>0</v>
      </c>
      <c r="W31" s="14">
        <f t="shared" si="15"/>
        <v>0</v>
      </c>
      <c r="X31" s="24">
        <f t="shared" si="16"/>
        <v>0</v>
      </c>
      <c r="Y31" s="28">
        <f t="shared" si="17"/>
        <v>0</v>
      </c>
    </row>
    <row r="32" spans="1:25" ht="13.5" customHeight="1">
      <c r="A32" s="17">
        <v>28</v>
      </c>
      <c r="B32" s="76"/>
      <c r="C32" s="76"/>
      <c r="D32" s="237"/>
      <c r="E32" s="77"/>
      <c r="F32" s="77"/>
      <c r="G32" s="77"/>
      <c r="H32" s="14">
        <f t="shared" si="0"/>
        <v>0</v>
      </c>
      <c r="I32" s="14">
        <f t="shared" si="1"/>
        <v>0</v>
      </c>
      <c r="J32" s="14">
        <f t="shared" si="2"/>
        <v>0</v>
      </c>
      <c r="K32" s="14">
        <f t="shared" si="3"/>
        <v>0</v>
      </c>
      <c r="L32" s="14">
        <f t="shared" si="4"/>
        <v>0</v>
      </c>
      <c r="M32" s="14">
        <f t="shared" si="5"/>
        <v>0</v>
      </c>
      <c r="N32" s="14">
        <f t="shared" si="6"/>
        <v>0</v>
      </c>
      <c r="O32" s="14">
        <f t="shared" si="7"/>
        <v>0</v>
      </c>
      <c r="P32" s="14">
        <f t="shared" si="8"/>
        <v>0</v>
      </c>
      <c r="Q32" s="14">
        <f t="shared" si="9"/>
        <v>0</v>
      </c>
      <c r="R32" s="14">
        <f t="shared" si="10"/>
        <v>0</v>
      </c>
      <c r="S32" s="14">
        <f t="shared" si="11"/>
        <v>0</v>
      </c>
      <c r="T32" s="14">
        <f t="shared" si="12"/>
        <v>0</v>
      </c>
      <c r="U32" s="14">
        <f t="shared" si="13"/>
        <v>0</v>
      </c>
      <c r="V32" s="14">
        <f t="shared" si="14"/>
        <v>0</v>
      </c>
      <c r="W32" s="14">
        <f t="shared" si="15"/>
        <v>0</v>
      </c>
      <c r="X32" s="24">
        <f t="shared" si="16"/>
        <v>0</v>
      </c>
      <c r="Y32" s="28">
        <f t="shared" si="17"/>
        <v>0</v>
      </c>
    </row>
    <row r="33" spans="1:25" ht="13.5" customHeight="1">
      <c r="A33" s="17">
        <v>29</v>
      </c>
      <c r="B33" s="76"/>
      <c r="C33" s="76"/>
      <c r="D33" s="237"/>
      <c r="E33" s="77"/>
      <c r="F33" s="77"/>
      <c r="G33" s="77"/>
      <c r="H33" s="14">
        <f t="shared" si="0"/>
        <v>0</v>
      </c>
      <c r="I33" s="14">
        <f t="shared" si="1"/>
        <v>0</v>
      </c>
      <c r="J33" s="14">
        <f t="shared" si="2"/>
        <v>0</v>
      </c>
      <c r="K33" s="14">
        <f t="shared" si="3"/>
        <v>0</v>
      </c>
      <c r="L33" s="14">
        <f t="shared" si="4"/>
        <v>0</v>
      </c>
      <c r="M33" s="14">
        <f t="shared" si="5"/>
        <v>0</v>
      </c>
      <c r="N33" s="14">
        <f t="shared" si="6"/>
        <v>0</v>
      </c>
      <c r="O33" s="14">
        <f t="shared" si="7"/>
        <v>0</v>
      </c>
      <c r="P33" s="14">
        <f t="shared" si="8"/>
        <v>0</v>
      </c>
      <c r="Q33" s="14">
        <f t="shared" si="9"/>
        <v>0</v>
      </c>
      <c r="R33" s="14">
        <f t="shared" si="10"/>
        <v>0</v>
      </c>
      <c r="S33" s="14">
        <f t="shared" si="11"/>
        <v>0</v>
      </c>
      <c r="T33" s="14">
        <f t="shared" si="12"/>
        <v>0</v>
      </c>
      <c r="U33" s="14">
        <f t="shared" si="13"/>
        <v>0</v>
      </c>
      <c r="V33" s="14">
        <f t="shared" si="14"/>
        <v>0</v>
      </c>
      <c r="W33" s="14">
        <f t="shared" si="15"/>
        <v>0</v>
      </c>
      <c r="X33" s="24">
        <f t="shared" si="16"/>
        <v>0</v>
      </c>
      <c r="Y33" s="28">
        <f t="shared" si="17"/>
        <v>0</v>
      </c>
    </row>
    <row r="34" spans="1:25" ht="13.5" customHeight="1" thickBot="1">
      <c r="A34" s="18">
        <v>30</v>
      </c>
      <c r="B34" s="80"/>
      <c r="C34" s="80"/>
      <c r="D34" s="239"/>
      <c r="E34" s="81"/>
      <c r="F34" s="81"/>
      <c r="G34" s="81"/>
      <c r="H34" s="19">
        <f t="shared" si="0"/>
        <v>0</v>
      </c>
      <c r="I34" s="19">
        <f t="shared" si="1"/>
        <v>0</v>
      </c>
      <c r="J34" s="19">
        <f t="shared" si="2"/>
        <v>0</v>
      </c>
      <c r="K34" s="19">
        <f t="shared" si="3"/>
        <v>0</v>
      </c>
      <c r="L34" s="19">
        <f t="shared" si="4"/>
        <v>0</v>
      </c>
      <c r="M34" s="19">
        <f t="shared" si="5"/>
        <v>0</v>
      </c>
      <c r="N34" s="19">
        <f t="shared" si="6"/>
        <v>0</v>
      </c>
      <c r="O34" s="19">
        <f t="shared" si="7"/>
        <v>0</v>
      </c>
      <c r="P34" s="19">
        <f t="shared" si="8"/>
        <v>0</v>
      </c>
      <c r="Q34" s="19">
        <f t="shared" si="9"/>
        <v>0</v>
      </c>
      <c r="R34" s="19">
        <f t="shared" si="10"/>
        <v>0</v>
      </c>
      <c r="S34" s="19">
        <f t="shared" si="11"/>
        <v>0</v>
      </c>
      <c r="T34" s="19">
        <f t="shared" si="12"/>
        <v>0</v>
      </c>
      <c r="U34" s="19">
        <f t="shared" si="13"/>
        <v>0</v>
      </c>
      <c r="V34" s="19">
        <f t="shared" si="14"/>
        <v>0</v>
      </c>
      <c r="W34" s="19">
        <f t="shared" si="15"/>
        <v>0</v>
      </c>
      <c r="X34" s="25">
        <f t="shared" si="16"/>
        <v>0</v>
      </c>
      <c r="Y34" s="29">
        <f t="shared" si="17"/>
        <v>0</v>
      </c>
    </row>
    <row r="35" spans="1:25" ht="13.5" customHeight="1">
      <c r="A35" s="15">
        <v>31</v>
      </c>
      <c r="B35" s="74"/>
      <c r="C35" s="74"/>
      <c r="D35" s="236"/>
      <c r="E35" s="75"/>
      <c r="F35" s="75"/>
      <c r="G35" s="75"/>
      <c r="H35" s="16">
        <f t="shared" si="0"/>
        <v>0</v>
      </c>
      <c r="I35" s="16">
        <f t="shared" si="1"/>
        <v>0</v>
      </c>
      <c r="J35" s="16">
        <f t="shared" si="2"/>
        <v>0</v>
      </c>
      <c r="K35" s="16">
        <f t="shared" si="3"/>
        <v>0</v>
      </c>
      <c r="L35" s="16">
        <f t="shared" si="4"/>
        <v>0</v>
      </c>
      <c r="M35" s="16">
        <f t="shared" si="5"/>
        <v>0</v>
      </c>
      <c r="N35" s="16">
        <f t="shared" si="6"/>
        <v>0</v>
      </c>
      <c r="O35" s="16">
        <f t="shared" si="7"/>
        <v>0</v>
      </c>
      <c r="P35" s="16">
        <f t="shared" si="8"/>
        <v>0</v>
      </c>
      <c r="Q35" s="16">
        <f t="shared" si="9"/>
        <v>0</v>
      </c>
      <c r="R35" s="16">
        <f t="shared" si="10"/>
        <v>0</v>
      </c>
      <c r="S35" s="16">
        <f t="shared" si="11"/>
        <v>0</v>
      </c>
      <c r="T35" s="16">
        <f t="shared" si="12"/>
        <v>0</v>
      </c>
      <c r="U35" s="16">
        <f t="shared" si="13"/>
        <v>0</v>
      </c>
      <c r="V35" s="16">
        <f t="shared" si="14"/>
        <v>0</v>
      </c>
      <c r="W35" s="16">
        <f t="shared" si="15"/>
        <v>0</v>
      </c>
      <c r="X35" s="23">
        <f t="shared" si="16"/>
        <v>0</v>
      </c>
      <c r="Y35" s="27">
        <f aca="true" t="shared" si="18" ref="Y35:Y44">SUM(H35:X35)</f>
        <v>0</v>
      </c>
    </row>
    <row r="36" spans="1:25" ht="13.5" customHeight="1">
      <c r="A36" s="17">
        <v>32</v>
      </c>
      <c r="B36" s="76"/>
      <c r="C36" s="76"/>
      <c r="D36" s="237"/>
      <c r="E36" s="77"/>
      <c r="F36" s="77"/>
      <c r="G36" s="77"/>
      <c r="H36" s="14">
        <f t="shared" si="0"/>
        <v>0</v>
      </c>
      <c r="I36" s="14">
        <f t="shared" si="1"/>
        <v>0</v>
      </c>
      <c r="J36" s="14">
        <f t="shared" si="2"/>
        <v>0</v>
      </c>
      <c r="K36" s="14">
        <f t="shared" si="3"/>
        <v>0</v>
      </c>
      <c r="L36" s="14">
        <f t="shared" si="4"/>
        <v>0</v>
      </c>
      <c r="M36" s="14">
        <f t="shared" si="5"/>
        <v>0</v>
      </c>
      <c r="N36" s="14">
        <f t="shared" si="6"/>
        <v>0</v>
      </c>
      <c r="O36" s="14">
        <f t="shared" si="7"/>
        <v>0</v>
      </c>
      <c r="P36" s="14">
        <f t="shared" si="8"/>
        <v>0</v>
      </c>
      <c r="Q36" s="14">
        <f t="shared" si="9"/>
        <v>0</v>
      </c>
      <c r="R36" s="14">
        <f t="shared" si="10"/>
        <v>0</v>
      </c>
      <c r="S36" s="14">
        <f t="shared" si="11"/>
        <v>0</v>
      </c>
      <c r="T36" s="14">
        <f t="shared" si="12"/>
        <v>0</v>
      </c>
      <c r="U36" s="14">
        <f t="shared" si="13"/>
        <v>0</v>
      </c>
      <c r="V36" s="14">
        <f t="shared" si="14"/>
        <v>0</v>
      </c>
      <c r="W36" s="14">
        <f t="shared" si="15"/>
        <v>0</v>
      </c>
      <c r="X36" s="24">
        <f t="shared" si="16"/>
        <v>0</v>
      </c>
      <c r="Y36" s="28">
        <f t="shared" si="18"/>
        <v>0</v>
      </c>
    </row>
    <row r="37" spans="1:25" ht="13.5" customHeight="1">
      <c r="A37" s="17">
        <v>33</v>
      </c>
      <c r="B37" s="76"/>
      <c r="C37" s="76"/>
      <c r="D37" s="237"/>
      <c r="E37" s="77"/>
      <c r="F37" s="77"/>
      <c r="G37" s="77"/>
      <c r="H37" s="14">
        <f t="shared" si="0"/>
        <v>0</v>
      </c>
      <c r="I37" s="14">
        <f t="shared" si="1"/>
        <v>0</v>
      </c>
      <c r="J37" s="14">
        <f t="shared" si="2"/>
        <v>0</v>
      </c>
      <c r="K37" s="14">
        <f t="shared" si="3"/>
        <v>0</v>
      </c>
      <c r="L37" s="14">
        <f t="shared" si="4"/>
        <v>0</v>
      </c>
      <c r="M37" s="14">
        <f t="shared" si="5"/>
        <v>0</v>
      </c>
      <c r="N37" s="14">
        <f t="shared" si="6"/>
        <v>0</v>
      </c>
      <c r="O37" s="14">
        <f t="shared" si="7"/>
        <v>0</v>
      </c>
      <c r="P37" s="14">
        <f t="shared" si="8"/>
        <v>0</v>
      </c>
      <c r="Q37" s="14">
        <f t="shared" si="9"/>
        <v>0</v>
      </c>
      <c r="R37" s="14">
        <f t="shared" si="10"/>
        <v>0</v>
      </c>
      <c r="S37" s="14">
        <f t="shared" si="11"/>
        <v>0</v>
      </c>
      <c r="T37" s="14">
        <f t="shared" si="12"/>
        <v>0</v>
      </c>
      <c r="U37" s="14">
        <f t="shared" si="13"/>
        <v>0</v>
      </c>
      <c r="V37" s="14">
        <f t="shared" si="14"/>
        <v>0</v>
      </c>
      <c r="W37" s="14">
        <f t="shared" si="15"/>
        <v>0</v>
      </c>
      <c r="X37" s="24">
        <f t="shared" si="16"/>
        <v>0</v>
      </c>
      <c r="Y37" s="28">
        <f t="shared" si="18"/>
        <v>0</v>
      </c>
    </row>
    <row r="38" spans="1:25" ht="13.5" customHeight="1">
      <c r="A38" s="17">
        <v>34</v>
      </c>
      <c r="B38" s="76"/>
      <c r="C38" s="76"/>
      <c r="D38" s="237"/>
      <c r="E38" s="77"/>
      <c r="F38" s="77"/>
      <c r="G38" s="77"/>
      <c r="H38" s="14">
        <f t="shared" si="0"/>
        <v>0</v>
      </c>
      <c r="I38" s="14">
        <f t="shared" si="1"/>
        <v>0</v>
      </c>
      <c r="J38" s="14">
        <f t="shared" si="2"/>
        <v>0</v>
      </c>
      <c r="K38" s="14">
        <f t="shared" si="3"/>
        <v>0</v>
      </c>
      <c r="L38" s="14">
        <f t="shared" si="4"/>
        <v>0</v>
      </c>
      <c r="M38" s="14">
        <f t="shared" si="5"/>
        <v>0</v>
      </c>
      <c r="N38" s="14">
        <f t="shared" si="6"/>
        <v>0</v>
      </c>
      <c r="O38" s="14">
        <f t="shared" si="7"/>
        <v>0</v>
      </c>
      <c r="P38" s="14">
        <f t="shared" si="8"/>
        <v>0</v>
      </c>
      <c r="Q38" s="14">
        <f t="shared" si="9"/>
        <v>0</v>
      </c>
      <c r="R38" s="14">
        <f t="shared" si="10"/>
        <v>0</v>
      </c>
      <c r="S38" s="14">
        <f t="shared" si="11"/>
        <v>0</v>
      </c>
      <c r="T38" s="14">
        <f t="shared" si="12"/>
        <v>0</v>
      </c>
      <c r="U38" s="14">
        <f t="shared" si="13"/>
        <v>0</v>
      </c>
      <c r="V38" s="14">
        <f t="shared" si="14"/>
        <v>0</v>
      </c>
      <c r="W38" s="14">
        <f t="shared" si="15"/>
        <v>0</v>
      </c>
      <c r="X38" s="24">
        <f t="shared" si="16"/>
        <v>0</v>
      </c>
      <c r="Y38" s="28">
        <f t="shared" si="18"/>
        <v>0</v>
      </c>
    </row>
    <row r="39" spans="1:25" ht="13.5" customHeight="1">
      <c r="A39" s="17">
        <v>35</v>
      </c>
      <c r="B39" s="76"/>
      <c r="C39" s="76"/>
      <c r="D39" s="237"/>
      <c r="E39" s="77"/>
      <c r="F39" s="77"/>
      <c r="G39" s="77"/>
      <c r="H39" s="14">
        <f t="shared" si="0"/>
        <v>0</v>
      </c>
      <c r="I39" s="14">
        <f t="shared" si="1"/>
        <v>0</v>
      </c>
      <c r="J39" s="14">
        <f t="shared" si="2"/>
        <v>0</v>
      </c>
      <c r="K39" s="14">
        <f t="shared" si="3"/>
        <v>0</v>
      </c>
      <c r="L39" s="14">
        <f t="shared" si="4"/>
        <v>0</v>
      </c>
      <c r="M39" s="14">
        <f t="shared" si="5"/>
        <v>0</v>
      </c>
      <c r="N39" s="14">
        <f t="shared" si="6"/>
        <v>0</v>
      </c>
      <c r="O39" s="14">
        <f t="shared" si="7"/>
        <v>0</v>
      </c>
      <c r="P39" s="14">
        <f t="shared" si="8"/>
        <v>0</v>
      </c>
      <c r="Q39" s="14">
        <f t="shared" si="9"/>
        <v>0</v>
      </c>
      <c r="R39" s="14">
        <f t="shared" si="10"/>
        <v>0</v>
      </c>
      <c r="S39" s="14">
        <f t="shared" si="11"/>
        <v>0</v>
      </c>
      <c r="T39" s="14">
        <f t="shared" si="12"/>
        <v>0</v>
      </c>
      <c r="U39" s="14">
        <f t="shared" si="13"/>
        <v>0</v>
      </c>
      <c r="V39" s="14">
        <f t="shared" si="14"/>
        <v>0</v>
      </c>
      <c r="W39" s="14">
        <f t="shared" si="15"/>
        <v>0</v>
      </c>
      <c r="X39" s="24">
        <f t="shared" si="16"/>
        <v>0</v>
      </c>
      <c r="Y39" s="28">
        <f t="shared" si="18"/>
        <v>0</v>
      </c>
    </row>
    <row r="40" spans="1:25" ht="13.5" customHeight="1">
      <c r="A40" s="17">
        <v>36</v>
      </c>
      <c r="B40" s="76"/>
      <c r="C40" s="76"/>
      <c r="D40" s="237"/>
      <c r="E40" s="77"/>
      <c r="F40" s="77"/>
      <c r="G40" s="77"/>
      <c r="H40" s="14">
        <f t="shared" si="0"/>
        <v>0</v>
      </c>
      <c r="I40" s="14">
        <f t="shared" si="1"/>
        <v>0</v>
      </c>
      <c r="J40" s="14">
        <f t="shared" si="2"/>
        <v>0</v>
      </c>
      <c r="K40" s="14">
        <f t="shared" si="3"/>
        <v>0</v>
      </c>
      <c r="L40" s="14">
        <f t="shared" si="4"/>
        <v>0</v>
      </c>
      <c r="M40" s="14">
        <f t="shared" si="5"/>
        <v>0</v>
      </c>
      <c r="N40" s="14">
        <f t="shared" si="6"/>
        <v>0</v>
      </c>
      <c r="O40" s="14">
        <f t="shared" si="7"/>
        <v>0</v>
      </c>
      <c r="P40" s="14">
        <f t="shared" si="8"/>
        <v>0</v>
      </c>
      <c r="Q40" s="14">
        <f t="shared" si="9"/>
        <v>0</v>
      </c>
      <c r="R40" s="14">
        <f t="shared" si="10"/>
        <v>0</v>
      </c>
      <c r="S40" s="14">
        <f t="shared" si="11"/>
        <v>0</v>
      </c>
      <c r="T40" s="14">
        <f t="shared" si="12"/>
        <v>0</v>
      </c>
      <c r="U40" s="14">
        <f t="shared" si="13"/>
        <v>0</v>
      </c>
      <c r="V40" s="14">
        <f t="shared" si="14"/>
        <v>0</v>
      </c>
      <c r="W40" s="14">
        <f t="shared" si="15"/>
        <v>0</v>
      </c>
      <c r="X40" s="24">
        <f t="shared" si="16"/>
        <v>0</v>
      </c>
      <c r="Y40" s="28">
        <f t="shared" si="18"/>
        <v>0</v>
      </c>
    </row>
    <row r="41" spans="1:25" ht="13.5" customHeight="1">
      <c r="A41" s="17">
        <v>37</v>
      </c>
      <c r="B41" s="76"/>
      <c r="C41" s="76"/>
      <c r="D41" s="237"/>
      <c r="E41" s="77"/>
      <c r="F41" s="77"/>
      <c r="G41" s="77"/>
      <c r="H41" s="14">
        <f t="shared" si="0"/>
        <v>0</v>
      </c>
      <c r="I41" s="14">
        <f t="shared" si="1"/>
        <v>0</v>
      </c>
      <c r="J41" s="14">
        <f t="shared" si="2"/>
        <v>0</v>
      </c>
      <c r="K41" s="14">
        <f t="shared" si="3"/>
        <v>0</v>
      </c>
      <c r="L41" s="14">
        <f t="shared" si="4"/>
        <v>0</v>
      </c>
      <c r="M41" s="14">
        <f t="shared" si="5"/>
        <v>0</v>
      </c>
      <c r="N41" s="14">
        <f t="shared" si="6"/>
        <v>0</v>
      </c>
      <c r="O41" s="14">
        <f t="shared" si="7"/>
        <v>0</v>
      </c>
      <c r="P41" s="14">
        <f t="shared" si="8"/>
        <v>0</v>
      </c>
      <c r="Q41" s="14">
        <f t="shared" si="9"/>
        <v>0</v>
      </c>
      <c r="R41" s="14">
        <f t="shared" si="10"/>
        <v>0</v>
      </c>
      <c r="S41" s="14">
        <f t="shared" si="11"/>
        <v>0</v>
      </c>
      <c r="T41" s="14">
        <f t="shared" si="12"/>
        <v>0</v>
      </c>
      <c r="U41" s="14">
        <f t="shared" si="13"/>
        <v>0</v>
      </c>
      <c r="V41" s="14">
        <f t="shared" si="14"/>
        <v>0</v>
      </c>
      <c r="W41" s="14">
        <f t="shared" si="15"/>
        <v>0</v>
      </c>
      <c r="X41" s="24">
        <f t="shared" si="16"/>
        <v>0</v>
      </c>
      <c r="Y41" s="28">
        <f t="shared" si="18"/>
        <v>0</v>
      </c>
    </row>
    <row r="42" spans="1:25" ht="13.5" customHeight="1">
      <c r="A42" s="17">
        <v>38</v>
      </c>
      <c r="B42" s="76"/>
      <c r="C42" s="76"/>
      <c r="D42" s="237"/>
      <c r="E42" s="77"/>
      <c r="F42" s="77"/>
      <c r="G42" s="77"/>
      <c r="H42" s="14">
        <f t="shared" si="0"/>
        <v>0</v>
      </c>
      <c r="I42" s="14">
        <f t="shared" si="1"/>
        <v>0</v>
      </c>
      <c r="J42" s="14">
        <f t="shared" si="2"/>
        <v>0</v>
      </c>
      <c r="K42" s="14">
        <f t="shared" si="3"/>
        <v>0</v>
      </c>
      <c r="L42" s="14">
        <f t="shared" si="4"/>
        <v>0</v>
      </c>
      <c r="M42" s="14">
        <f t="shared" si="5"/>
        <v>0</v>
      </c>
      <c r="N42" s="14">
        <f t="shared" si="6"/>
        <v>0</v>
      </c>
      <c r="O42" s="14">
        <f t="shared" si="7"/>
        <v>0</v>
      </c>
      <c r="P42" s="14">
        <f t="shared" si="8"/>
        <v>0</v>
      </c>
      <c r="Q42" s="14">
        <f t="shared" si="9"/>
        <v>0</v>
      </c>
      <c r="R42" s="14">
        <f t="shared" si="10"/>
        <v>0</v>
      </c>
      <c r="S42" s="14">
        <f t="shared" si="11"/>
        <v>0</v>
      </c>
      <c r="T42" s="14">
        <f t="shared" si="12"/>
        <v>0</v>
      </c>
      <c r="U42" s="14">
        <f t="shared" si="13"/>
        <v>0</v>
      </c>
      <c r="V42" s="14">
        <f t="shared" si="14"/>
        <v>0</v>
      </c>
      <c r="W42" s="14">
        <f t="shared" si="15"/>
        <v>0</v>
      </c>
      <c r="X42" s="24">
        <f t="shared" si="16"/>
        <v>0</v>
      </c>
      <c r="Y42" s="28">
        <f t="shared" si="18"/>
        <v>0</v>
      </c>
    </row>
    <row r="43" spans="1:25" ht="13.5" customHeight="1">
      <c r="A43" s="17">
        <v>39</v>
      </c>
      <c r="B43" s="76"/>
      <c r="C43" s="76"/>
      <c r="D43" s="237"/>
      <c r="E43" s="77"/>
      <c r="F43" s="77"/>
      <c r="G43" s="77"/>
      <c r="H43" s="14">
        <f t="shared" si="0"/>
        <v>0</v>
      </c>
      <c r="I43" s="14">
        <f t="shared" si="1"/>
        <v>0</v>
      </c>
      <c r="J43" s="14">
        <f t="shared" si="2"/>
        <v>0</v>
      </c>
      <c r="K43" s="14">
        <f t="shared" si="3"/>
        <v>0</v>
      </c>
      <c r="L43" s="14">
        <f t="shared" si="4"/>
        <v>0</v>
      </c>
      <c r="M43" s="14">
        <f t="shared" si="5"/>
        <v>0</v>
      </c>
      <c r="N43" s="14">
        <f t="shared" si="6"/>
        <v>0</v>
      </c>
      <c r="O43" s="14">
        <f t="shared" si="7"/>
        <v>0</v>
      </c>
      <c r="P43" s="14">
        <f t="shared" si="8"/>
        <v>0</v>
      </c>
      <c r="Q43" s="14">
        <f t="shared" si="9"/>
        <v>0</v>
      </c>
      <c r="R43" s="14">
        <f t="shared" si="10"/>
        <v>0</v>
      </c>
      <c r="S43" s="14">
        <f t="shared" si="11"/>
        <v>0</v>
      </c>
      <c r="T43" s="14">
        <f t="shared" si="12"/>
        <v>0</v>
      </c>
      <c r="U43" s="14">
        <f t="shared" si="13"/>
        <v>0</v>
      </c>
      <c r="V43" s="14">
        <f t="shared" si="14"/>
        <v>0</v>
      </c>
      <c r="W43" s="14">
        <f t="shared" si="15"/>
        <v>0</v>
      </c>
      <c r="X43" s="24">
        <f t="shared" si="16"/>
        <v>0</v>
      </c>
      <c r="Y43" s="28">
        <f t="shared" si="18"/>
        <v>0</v>
      </c>
    </row>
    <row r="44" spans="1:25" ht="13.5" customHeight="1" thickBot="1">
      <c r="A44" s="18">
        <v>40</v>
      </c>
      <c r="B44" s="80"/>
      <c r="C44" s="80"/>
      <c r="D44" s="239"/>
      <c r="E44" s="81"/>
      <c r="F44" s="81"/>
      <c r="G44" s="81"/>
      <c r="H44" s="19">
        <f t="shared" si="0"/>
        <v>0</v>
      </c>
      <c r="I44" s="19">
        <f t="shared" si="1"/>
        <v>0</v>
      </c>
      <c r="J44" s="19">
        <f t="shared" si="2"/>
        <v>0</v>
      </c>
      <c r="K44" s="19">
        <f t="shared" si="3"/>
        <v>0</v>
      </c>
      <c r="L44" s="19">
        <f t="shared" si="4"/>
        <v>0</v>
      </c>
      <c r="M44" s="19">
        <f t="shared" si="5"/>
        <v>0</v>
      </c>
      <c r="N44" s="19">
        <f t="shared" si="6"/>
        <v>0</v>
      </c>
      <c r="O44" s="19">
        <f t="shared" si="7"/>
        <v>0</v>
      </c>
      <c r="P44" s="19">
        <f t="shared" si="8"/>
        <v>0</v>
      </c>
      <c r="Q44" s="19">
        <f t="shared" si="9"/>
        <v>0</v>
      </c>
      <c r="R44" s="19">
        <f t="shared" si="10"/>
        <v>0</v>
      </c>
      <c r="S44" s="19">
        <f t="shared" si="11"/>
        <v>0</v>
      </c>
      <c r="T44" s="19">
        <f t="shared" si="12"/>
        <v>0</v>
      </c>
      <c r="U44" s="19">
        <f t="shared" si="13"/>
        <v>0</v>
      </c>
      <c r="V44" s="19">
        <f t="shared" si="14"/>
        <v>0</v>
      </c>
      <c r="W44" s="19">
        <f t="shared" si="15"/>
        <v>0</v>
      </c>
      <c r="X44" s="25">
        <f t="shared" si="16"/>
        <v>0</v>
      </c>
      <c r="Y44" s="29">
        <f t="shared" si="18"/>
        <v>0</v>
      </c>
    </row>
    <row r="45" spans="1:25" ht="13.5" customHeight="1" thickBot="1" thickTop="1">
      <c r="A45" s="20" t="s">
        <v>594</v>
      </c>
      <c r="B45" s="55"/>
      <c r="C45" s="55"/>
      <c r="D45" s="55"/>
      <c r="E45" s="56"/>
      <c r="F45" s="21">
        <f>IF(SUM(F5:F44)=0,"",SUM(F5:F44))</f>
      </c>
      <c r="G45" s="21">
        <f>IF(SUM(G5:G44)=0,"",SUM(G5:G44))</f>
      </c>
      <c r="H45" s="22">
        <f>SUM(H5:H44)</f>
        <v>0</v>
      </c>
      <c r="I45" s="22">
        <f aca="true" t="shared" si="19" ref="I45:Y45">SUM(I5:I44)</f>
        <v>0</v>
      </c>
      <c r="J45" s="22">
        <f t="shared" si="19"/>
        <v>0</v>
      </c>
      <c r="K45" s="22">
        <f t="shared" si="19"/>
        <v>0</v>
      </c>
      <c r="L45" s="22">
        <f t="shared" si="19"/>
        <v>0</v>
      </c>
      <c r="M45" s="22">
        <f t="shared" si="19"/>
        <v>0</v>
      </c>
      <c r="N45" s="22">
        <f t="shared" si="19"/>
        <v>0</v>
      </c>
      <c r="O45" s="22">
        <f t="shared" si="19"/>
        <v>0</v>
      </c>
      <c r="P45" s="22">
        <f t="shared" si="19"/>
        <v>0</v>
      </c>
      <c r="Q45" s="22">
        <f t="shared" si="19"/>
        <v>0</v>
      </c>
      <c r="R45" s="22">
        <f t="shared" si="19"/>
        <v>0</v>
      </c>
      <c r="S45" s="22">
        <f t="shared" si="19"/>
        <v>0</v>
      </c>
      <c r="T45" s="22">
        <f t="shared" si="19"/>
        <v>0</v>
      </c>
      <c r="U45" s="22">
        <f t="shared" si="19"/>
        <v>0</v>
      </c>
      <c r="V45" s="22">
        <f t="shared" si="19"/>
        <v>0</v>
      </c>
      <c r="W45" s="22">
        <f t="shared" si="19"/>
        <v>0</v>
      </c>
      <c r="X45" s="26">
        <f t="shared" si="19"/>
        <v>0</v>
      </c>
      <c r="Y45" s="45">
        <f t="shared" si="19"/>
        <v>0</v>
      </c>
    </row>
  </sheetData>
  <sheetProtection/>
  <mergeCells count="13">
    <mergeCell ref="F2:F4"/>
    <mergeCell ref="G2:G4"/>
    <mergeCell ref="H2:Y2"/>
    <mergeCell ref="T3:W3"/>
    <mergeCell ref="X3:X4"/>
    <mergeCell ref="Y3:Y4"/>
    <mergeCell ref="P3:S3"/>
    <mergeCell ref="H3:K3"/>
    <mergeCell ref="L3:O3"/>
    <mergeCell ref="A2:A4"/>
    <mergeCell ref="B2:B4"/>
    <mergeCell ref="C2:D3"/>
    <mergeCell ref="E2:E4"/>
  </mergeCells>
  <dataValidations count="2">
    <dataValidation type="list" allowBlank="1" showInputMessage="1" showErrorMessage="1" sqref="C5:C44">
      <formula1>$AJ$5:$AJ$25</formula1>
    </dataValidation>
    <dataValidation allowBlank="1" showInputMessage="1" showErrorMessage="1" imeMode="halfAlpha" sqref="F5:G45"/>
  </dataValidations>
  <printOptions/>
  <pageMargins left="0.7874015748031497" right="0.7874015748031497" top="0.7874015748031497" bottom="0.7874015748031497" header="0.5118110236220472" footer="0.35433070866141736"/>
  <pageSetup fitToHeight="1" fitToWidth="1" horizontalDpi="300" verticalDpi="300" orientation="landscape" paperSize="9" scale="74" r:id="rId1"/>
  <headerFooter alignWithMargins="0">
    <oddHeader>&amp;R様式３</oddHeader>
  </headerFooter>
</worksheet>
</file>

<file path=xl/worksheets/sheet4.xml><?xml version="1.0" encoding="utf-8"?>
<worksheet xmlns="http://schemas.openxmlformats.org/spreadsheetml/2006/main" xmlns:r="http://schemas.openxmlformats.org/officeDocument/2006/relationships">
  <dimension ref="A1:BC386"/>
  <sheetViews>
    <sheetView workbookViewId="0" topLeftCell="A1">
      <pane ySplit="3" topLeftCell="BM19" activePane="bottomLeft" state="frozen"/>
      <selection pane="topLeft" activeCell="A65" sqref="A1:D65"/>
      <selection pane="bottomLeft" activeCell="K35" sqref="K35"/>
    </sheetView>
  </sheetViews>
  <sheetFormatPr defaultColWidth="9.00390625" defaultRowHeight="13.5"/>
  <cols>
    <col min="1" max="1" width="6.25390625" style="357" hidden="1" customWidth="1"/>
    <col min="2" max="2" width="4.875" style="357" hidden="1" customWidth="1"/>
    <col min="3" max="3" width="3.75390625" style="357" customWidth="1"/>
    <col min="4" max="4" width="4.125" style="357" customWidth="1"/>
    <col min="5" max="5" width="5.625" style="357" customWidth="1"/>
    <col min="6" max="6" width="18.25390625" style="357" customWidth="1"/>
    <col min="7" max="7" width="12.75390625" style="367" customWidth="1"/>
    <col min="8" max="8" width="3.00390625" style="367" customWidth="1"/>
    <col min="9" max="9" width="5.375" style="357" customWidth="1"/>
    <col min="10" max="10" width="18.125" style="357" customWidth="1"/>
    <col min="11" max="11" width="13.875" style="357" customWidth="1"/>
    <col min="12" max="12" width="4.50390625" style="357" customWidth="1"/>
    <col min="13" max="14" width="3.75390625" style="357" customWidth="1"/>
    <col min="15" max="15" width="6.375" style="357" customWidth="1"/>
    <col min="16" max="16" width="6.25390625" style="357" customWidth="1"/>
    <col min="17" max="17" width="6.125" style="357" customWidth="1"/>
    <col min="18" max="18" width="5.375" style="357" customWidth="1"/>
    <col min="19" max="19" width="4.625" style="357" customWidth="1"/>
    <col min="20" max="20" width="4.50390625" style="357" customWidth="1"/>
    <col min="21" max="21" width="15.125" style="357" customWidth="1"/>
    <col min="22" max="22" width="4.00390625" style="367" customWidth="1"/>
    <col min="23" max="23" width="18.125" style="357" customWidth="1"/>
    <col min="24" max="24" width="3.50390625" style="387" hidden="1" customWidth="1"/>
    <col min="25" max="26" width="3.75390625" style="357" hidden="1" customWidth="1"/>
    <col min="27" max="28" width="4.625" style="357" hidden="1" customWidth="1"/>
    <col min="29" max="31" width="4.125" style="357" hidden="1" customWidth="1"/>
    <col min="32" max="32" width="3.75390625" style="357" hidden="1" customWidth="1"/>
    <col min="33" max="33" width="5.50390625" style="357" hidden="1" customWidth="1"/>
    <col min="34" max="35" width="5.75390625" style="357" hidden="1" customWidth="1"/>
    <col min="36" max="36" width="7.875" style="357" hidden="1" customWidth="1"/>
    <col min="37" max="37" width="6.25390625" style="357" hidden="1" customWidth="1"/>
    <col min="38" max="38" width="5.875" style="357" hidden="1" customWidth="1"/>
    <col min="39" max="39" width="6.25390625" style="357" hidden="1" customWidth="1"/>
    <col min="40" max="40" width="5.75390625" style="357" hidden="1" customWidth="1"/>
    <col min="41" max="41" width="8.625" style="357" hidden="1" customWidth="1"/>
    <col min="42" max="42" width="3.625" style="357" hidden="1" customWidth="1"/>
    <col min="43" max="43" width="7.50390625" style="357" hidden="1" customWidth="1"/>
    <col min="44" max="44" width="10.375" style="357" hidden="1" customWidth="1"/>
    <col min="45" max="45" width="3.875" style="357" customWidth="1"/>
    <col min="46" max="46" width="17.75390625" style="357" customWidth="1"/>
    <col min="47" max="47" width="5.50390625" style="357" customWidth="1"/>
    <col min="48" max="48" width="5.125" style="357" customWidth="1"/>
    <col min="49" max="49" width="5.875" style="357" customWidth="1"/>
    <col min="50" max="50" width="5.375" style="357" customWidth="1"/>
    <col min="51" max="51" width="5.00390625" style="357" customWidth="1"/>
    <col min="52" max="52" width="10.125" style="357" hidden="1" customWidth="1"/>
    <col min="53" max="16384" width="9.00390625" style="357" customWidth="1"/>
  </cols>
  <sheetData>
    <row r="1" spans="3:17" ht="13.5">
      <c r="C1" s="357" t="s">
        <v>325</v>
      </c>
      <c r="J1" s="393">
        <f>IF(SUM($X$4:$X$303)&gt;=1,"事業場コード又は車両コードを記入してください","")</f>
      </c>
      <c r="Q1" s="394">
        <f>IF(ISBLANK($Q$4:$Q$303)=TRUE,"「要確認」が表示されたままになっています",IF(COUNTIF($R$4:$S$303,"要確認"),"「要確認」が表示されたままになっています",IF(COUNTIF($O$4:$P$303,"要確認"),"「要確認」が表示されたままになっています","")))</f>
      </c>
    </row>
    <row r="2" spans="1:44" ht="24" customHeight="1">
      <c r="A2" s="397" t="s">
        <v>555</v>
      </c>
      <c r="B2" s="397" t="s">
        <v>332</v>
      </c>
      <c r="C2" s="399" t="s">
        <v>793</v>
      </c>
      <c r="D2" s="438" t="s">
        <v>794</v>
      </c>
      <c r="E2" s="402" t="s">
        <v>795</v>
      </c>
      <c r="F2" s="405" t="s">
        <v>796</v>
      </c>
      <c r="G2" s="401" t="s">
        <v>797</v>
      </c>
      <c r="H2" s="400"/>
      <c r="I2" s="405" t="s">
        <v>798</v>
      </c>
      <c r="J2" s="405" t="s">
        <v>799</v>
      </c>
      <c r="K2" s="403" t="s">
        <v>800</v>
      </c>
      <c r="L2" s="404"/>
      <c r="M2" s="442" t="s">
        <v>801</v>
      </c>
      <c r="N2" s="399" t="s">
        <v>802</v>
      </c>
      <c r="O2" s="436" t="s">
        <v>803</v>
      </c>
      <c r="P2" s="437"/>
      <c r="Q2" s="399" t="s">
        <v>804</v>
      </c>
      <c r="R2" s="436" t="s">
        <v>805</v>
      </c>
      <c r="S2" s="437"/>
      <c r="T2" s="439" t="s">
        <v>282</v>
      </c>
      <c r="U2" s="440"/>
      <c r="V2" s="440"/>
      <c r="W2" s="441"/>
      <c r="X2" s="445" t="s">
        <v>686</v>
      </c>
      <c r="Y2" s="397" t="s">
        <v>343</v>
      </c>
      <c r="Z2" s="397" t="s">
        <v>344</v>
      </c>
      <c r="AA2" s="397" t="s">
        <v>465</v>
      </c>
      <c r="AB2" s="397" t="s">
        <v>338</v>
      </c>
      <c r="AC2" s="397" t="s">
        <v>373</v>
      </c>
      <c r="AD2" s="397" t="s">
        <v>367</v>
      </c>
      <c r="AE2" s="397" t="s">
        <v>374</v>
      </c>
      <c r="AF2" s="397" t="s">
        <v>556</v>
      </c>
      <c r="AG2" s="397" t="s">
        <v>595</v>
      </c>
      <c r="AH2" s="397" t="s">
        <v>382</v>
      </c>
      <c r="AI2" s="397" t="s">
        <v>383</v>
      </c>
      <c r="AJ2" s="397" t="s">
        <v>557</v>
      </c>
      <c r="AK2" s="397" t="s">
        <v>469</v>
      </c>
      <c r="AL2" s="397" t="s">
        <v>339</v>
      </c>
      <c r="AM2" s="397" t="s">
        <v>470</v>
      </c>
      <c r="AN2" s="397" t="s">
        <v>340</v>
      </c>
      <c r="AO2" s="397" t="s">
        <v>626</v>
      </c>
      <c r="AP2" s="397" t="s">
        <v>562</v>
      </c>
      <c r="AQ2" s="397" t="s">
        <v>439</v>
      </c>
      <c r="AR2" s="397" t="s">
        <v>0</v>
      </c>
    </row>
    <row r="3" spans="1:44" ht="24" customHeight="1">
      <c r="A3" s="398"/>
      <c r="B3" s="398"/>
      <c r="C3" s="444"/>
      <c r="D3" s="406"/>
      <c r="E3" s="406"/>
      <c r="F3" s="406"/>
      <c r="G3" s="369"/>
      <c r="H3" s="370" t="s">
        <v>345</v>
      </c>
      <c r="I3" s="406"/>
      <c r="J3" s="406"/>
      <c r="K3" s="371" t="s">
        <v>443</v>
      </c>
      <c r="L3" s="372" t="s">
        <v>558</v>
      </c>
      <c r="M3" s="443"/>
      <c r="N3" s="406"/>
      <c r="O3" s="373" t="s">
        <v>444</v>
      </c>
      <c r="P3" s="373" t="s">
        <v>445</v>
      </c>
      <c r="Q3" s="406"/>
      <c r="R3" s="373" t="s">
        <v>444</v>
      </c>
      <c r="S3" s="373" t="s">
        <v>445</v>
      </c>
      <c r="T3" s="368" t="s">
        <v>806</v>
      </c>
      <c r="U3" s="368" t="s">
        <v>807</v>
      </c>
      <c r="V3" s="374" t="s">
        <v>808</v>
      </c>
      <c r="W3" s="374" t="s">
        <v>799</v>
      </c>
      <c r="X3" s="446"/>
      <c r="Y3" s="398"/>
      <c r="Z3" s="398"/>
      <c r="AA3" s="398"/>
      <c r="AB3" s="398"/>
      <c r="AC3" s="398"/>
      <c r="AD3" s="398"/>
      <c r="AE3" s="398"/>
      <c r="AF3" s="398"/>
      <c r="AG3" s="398"/>
      <c r="AH3" s="398"/>
      <c r="AI3" s="398"/>
      <c r="AJ3" s="398"/>
      <c r="AK3" s="398"/>
      <c r="AL3" s="398"/>
      <c r="AM3" s="398"/>
      <c r="AN3" s="398"/>
      <c r="AO3" s="398"/>
      <c r="AP3" s="398"/>
      <c r="AQ3" s="398"/>
      <c r="AR3" s="398"/>
    </row>
    <row r="4" spans="1:52" s="380" customFormat="1" ht="13.5" customHeight="1">
      <c r="A4" s="375" t="str">
        <f>IF(ISBLANK(F4)=TRUE," ",IF(ISBLANK('様式2'!$C$23)=TRUE," ",'様式2'!$C$23))</f>
        <v> </v>
      </c>
      <c r="B4" s="375" t="e">
        <f>LOOKUP(LOOKUP(C4,'様式3'!$A$5:$A$44,'様式3'!$C$5:$C$44),'産業分類表'!$D$2:$D$68,'産業分類表'!$E$2:$E$68)</f>
        <v>#N/A</v>
      </c>
      <c r="C4" s="343"/>
      <c r="D4" s="343"/>
      <c r="E4" s="343"/>
      <c r="F4" s="343"/>
      <c r="G4" s="341"/>
      <c r="H4" s="349"/>
      <c r="I4" s="343"/>
      <c r="J4" s="343"/>
      <c r="K4" s="342"/>
      <c r="L4" s="350"/>
      <c r="M4" s="351"/>
      <c r="N4" s="343"/>
      <c r="O4" s="354">
        <f aca="true" t="shared" si="0" ref="O4:O9">IF(ISBLANK(J4)=TRUE,"",IF(AF4="メ","要確認",IF(ISBLANK(M4)=TRUE,IF(ISNUMBER(AK4*AL4)=TRUE,AK4*AL4,"要確認"),"要確認")))</f>
      </c>
      <c r="P4" s="354">
        <f aca="true" t="shared" si="1" ref="P4:P9">IF(ISBLANK(J4)=TRUE,"",IF(AF4="メ","要確認",IF(ISBLANK(N4)=TRUE,IF(ISNUMBER(AM4*AN4)=TRUE,AM4*AN4,"要確認"),"要確認")))</f>
      </c>
      <c r="Q4" s="389"/>
      <c r="R4" s="376">
        <f aca="true" t="shared" si="2" ref="R4:R10">IF(O4="","",IF(ISERROR(O4*AB4),"要確認",IF(ISBLANK(Q4)=TRUE,"要確認",IF(ISBLANK(O4)=TRUE,"要確認",O4*AB4*Q4/1000))))</f>
      </c>
      <c r="S4" s="376">
        <f aca="true" t="shared" si="3" ref="S4:S10">IF(P4="","",IF(ISERROR(P4*AB4),"要確認",IF(ISBLANK(Q4)=TRUE,"要確認",IF(ISBLANK(P4)=TRUE,"要確認",P4*AB4*Q4/1000))))</f>
      </c>
      <c r="T4" s="352"/>
      <c r="U4" s="353"/>
      <c r="V4" s="352"/>
      <c r="W4" s="343"/>
      <c r="X4" s="388">
        <f>IF(ISBLANK(F4)=TRUE,"",IF(OR(ISBLANK(C4)=TRUE,ISBLANK(D4)=TRUE),1,""))</f>
      </c>
      <c r="Y4" s="375" t="e">
        <f aca="true" t="shared" si="4" ref="Y4:Y67">LOOKUP(F4,種類,$L$306:$L$313)</f>
        <v>#N/A</v>
      </c>
      <c r="Z4" s="375" t="e">
        <f aca="true" t="shared" si="5" ref="Z4:Z67">LOOKUP(F4,種類,$M$306:$M$313)</f>
        <v>#N/A</v>
      </c>
      <c r="AA4" s="375">
        <f>IF(ISERROR(SEARCH("-",G4,1))=TRUE,ASC(UPPER(G4)),ASC(UPPER(LEFT(G4,SEARCH("-",G4,1)-1))))</f>
      </c>
      <c r="AB4" s="377">
        <f aca="true" t="shared" si="6" ref="AB4:AB67">IF(I4&gt;3500,I4/1000,1)</f>
        <v>1</v>
      </c>
      <c r="AC4" s="375" t="str">
        <f aca="true" t="shared" si="7" ref="AC4:AC67">IF(ISBLANK(F4)=TRUE," ",IF(LEFT(F4,1)="4",0,IF(I4&lt;=1700,1,IF(I4&lt;=2500,2,IF(I4&lt;=3500,3,4)))))</f>
        <v> </v>
      </c>
      <c r="AD4" s="375" t="e">
        <f aca="true" t="shared" si="8" ref="AD4:AD67">IF(Z4="乗",0,IF(LEFT(F4,1)="4",0,IF(I4&lt;=1700,1,IF(I4&lt;=2500,2,IF(I4&lt;=3500,3,4)))))</f>
        <v>#N/A</v>
      </c>
      <c r="AE4" s="375" t="str">
        <f aca="true" t="shared" si="9" ref="AE4:AE67">IF(ISBLANK(J4)=TRUE," ",IF(LEFT(F4,1)="1",IF(I4&lt;=3500,1,IF(I4&lt;=5000,2,3)),IF(LEFT(F4,1)="6",IF(I4&lt;=3500,1,IF(I4&lt;=5000,2,3)),"")))</f>
        <v> </v>
      </c>
      <c r="AF4" s="375" t="e">
        <f aca="true" t="shared" si="10" ref="AF4:AF67">LOOKUP(J4,燃料,$L$320:$L$335)</f>
        <v>#N/A</v>
      </c>
      <c r="AG4" s="378" t="str">
        <f aca="true" t="shared" si="11" ref="AG4:AG67">IF(ISBLANK(J4)=TRUE," ",CONCATENATE(C4,LEFT(F4,1),AC4))</f>
        <v> </v>
      </c>
      <c r="AH4" s="379" t="e">
        <f aca="true" t="shared" si="12" ref="AH4:AH11">VALUE(LEFT(J4,2))</f>
        <v>#VALUE!</v>
      </c>
      <c r="AI4" s="378" t="e">
        <f aca="true" t="shared" si="13" ref="AI4:AI67">CONCATENATE(AH4,Z4,AE4)</f>
        <v>#VALUE!</v>
      </c>
      <c r="AJ4" s="375" t="e">
        <f>IF(AF4="電","電",CONCATENATE(Y4,AD4,AF4,AA4))</f>
        <v>#N/A</v>
      </c>
      <c r="AK4" s="375" t="e">
        <f>VLOOKUP(AJ4,'排出係数表'!$A$4:$C$202,2,FALSE)</f>
        <v>#N/A</v>
      </c>
      <c r="AL4" s="375" t="e">
        <f aca="true" t="shared" si="14" ref="AL4:AL67">IF(OR(AND(LEFT(AA4,1)="U",AA4&lt;&gt;"U"),AND(LEFT(AA4,1)="L",AA4&lt;&gt;"L"),AND(LEFT(AA4,1)="T",AA4&lt;&gt;"T")),1,LOOKUP(J4,燃料,$M$320:$M$335))</f>
        <v>#N/A</v>
      </c>
      <c r="AM4" s="375" t="e">
        <f>VLOOKUP(AJ4,'排出係数表'!$A$4:$C$202,3,FALSE)</f>
        <v>#N/A</v>
      </c>
      <c r="AN4" s="375" t="e">
        <f aca="true" t="shared" si="15" ref="AN4:AN67">LOOKUP(J4,燃料,$N$320:$N$335)</f>
        <v>#N/A</v>
      </c>
      <c r="AO4" s="375">
        <f aca="true" t="shared" si="16" ref="AO4:AO67">IF(ISBLANK(T4)=TRUE,"",CONCATENATE(AI4,LEFT(U4,4)))</f>
      </c>
      <c r="AP4" s="379" t="str">
        <f aca="true" t="shared" si="17" ref="AP4:AP67">IF(ISBLANK(T4)=TRUE,"-",LEFT(U4,4)-LEFT(K4,4))</f>
        <v>-</v>
      </c>
      <c r="AQ4" s="375" t="e">
        <f>IF(ISBLANK(T4)=TRUE,AI4,IF(T4="減車","減車",IF(OR(V4="同車種",ISBLANK(V4)=TRUE),IF(ISBLANK(W4)=TRUE,Z4&amp;AE4,VALUE(LEFT(W4,2))&amp;Z4&amp;AE4),IF(ISBLANK(W4)=TRUE,V4,VALUE(LEFT(W4,2))&amp;V4))))</f>
        <v>#VALUE!</v>
      </c>
      <c r="AR4" s="375">
        <f>IF(ISBLANK(T4)=TRUE,"",AQ4&amp;LEFT(U4,4))</f>
      </c>
      <c r="AZ4" s="380" t="s">
        <v>927</v>
      </c>
    </row>
    <row r="5" spans="1:52" s="380" customFormat="1" ht="13.5" customHeight="1">
      <c r="A5" s="375" t="str">
        <f>IF(ISBLANK(F5)=TRUE," ",IF(ISBLANK('様式2'!$C$23)=TRUE," ",'様式2'!$C$23))</f>
        <v> </v>
      </c>
      <c r="B5" s="375" t="e">
        <f>LOOKUP(LOOKUP(C5,'様式3'!$A$5:$A$44,'様式3'!$C$5:$C$44),'産業分類表'!$D$2:$D$68,'産業分類表'!$E$2:$E$68)</f>
        <v>#N/A</v>
      </c>
      <c r="C5" s="343"/>
      <c r="D5" s="343"/>
      <c r="E5" s="343"/>
      <c r="F5" s="343"/>
      <c r="G5" s="341"/>
      <c r="H5" s="349"/>
      <c r="I5" s="343"/>
      <c r="J5" s="343"/>
      <c r="K5" s="342"/>
      <c r="L5" s="350"/>
      <c r="M5" s="351"/>
      <c r="N5" s="343"/>
      <c r="O5" s="354">
        <f t="shared" si="0"/>
      </c>
      <c r="P5" s="354">
        <f t="shared" si="1"/>
      </c>
      <c r="Q5" s="389"/>
      <c r="R5" s="376">
        <f t="shared" si="2"/>
      </c>
      <c r="S5" s="376">
        <f t="shared" si="3"/>
      </c>
      <c r="T5" s="352"/>
      <c r="U5" s="353"/>
      <c r="V5" s="352"/>
      <c r="W5" s="343"/>
      <c r="X5" s="388">
        <f aca="true" t="shared" si="18" ref="X5:X68">IF(ISBLANK(F5)=TRUE,"",IF(OR(ISBLANK(C5)=TRUE,ISBLANK(D5)=TRUE),1,""))</f>
      </c>
      <c r="Y5" s="375" t="e">
        <f t="shared" si="4"/>
        <v>#N/A</v>
      </c>
      <c r="Z5" s="375" t="e">
        <f t="shared" si="5"/>
        <v>#N/A</v>
      </c>
      <c r="AA5" s="375">
        <f aca="true" t="shared" si="19" ref="AA5:AA68">IF(ISERROR(SEARCH("-",G5,1))=TRUE,ASC(UPPER(G5)),ASC(UPPER(LEFT(G5,SEARCH("-",G5,1)-1))))</f>
      </c>
      <c r="AB5" s="377">
        <f t="shared" si="6"/>
        <v>1</v>
      </c>
      <c r="AC5" s="375" t="str">
        <f t="shared" si="7"/>
        <v> </v>
      </c>
      <c r="AD5" s="375" t="e">
        <f t="shared" si="8"/>
        <v>#N/A</v>
      </c>
      <c r="AE5" s="375" t="str">
        <f t="shared" si="9"/>
        <v> </v>
      </c>
      <c r="AF5" s="375" t="e">
        <f t="shared" si="10"/>
        <v>#N/A</v>
      </c>
      <c r="AG5" s="378" t="str">
        <f t="shared" si="11"/>
        <v> </v>
      </c>
      <c r="AH5" s="379" t="e">
        <f t="shared" si="12"/>
        <v>#VALUE!</v>
      </c>
      <c r="AI5" s="378" t="e">
        <f t="shared" si="13"/>
        <v>#VALUE!</v>
      </c>
      <c r="AJ5" s="375" t="e">
        <f>IF(AF5="電","電",CONCATENATE(Y5,AD5,AF5,AA5))</f>
        <v>#N/A</v>
      </c>
      <c r="AK5" s="375" t="e">
        <f>VLOOKUP(AJ5,'排出係数表'!$A$4:$C$202,2,FALSE)</f>
        <v>#N/A</v>
      </c>
      <c r="AL5" s="375" t="e">
        <f t="shared" si="14"/>
        <v>#N/A</v>
      </c>
      <c r="AM5" s="375" t="e">
        <f>VLOOKUP(AJ5,'排出係数表'!$A$4:$C$202,3,FALSE)</f>
        <v>#N/A</v>
      </c>
      <c r="AN5" s="375" t="e">
        <f t="shared" si="15"/>
        <v>#N/A</v>
      </c>
      <c r="AO5" s="375">
        <f t="shared" si="16"/>
      </c>
      <c r="AP5" s="379" t="str">
        <f t="shared" si="17"/>
        <v>-</v>
      </c>
      <c r="AQ5" s="375" t="e">
        <f aca="true" t="shared" si="20" ref="AQ5:AQ11">IF(ISBLANK(T5)=TRUE,AI5,IF(T5="減車","減車",IF(OR(V5="同車種",ISBLANK(V5)=TRUE),IF(ISBLANK(W5)=TRUE,Z5&amp;AE5,VALUE(LEFT(W5,2))&amp;Z5&amp;AE5),IF(ISBLANK(W5)=TRUE,V5,VALUE(LEFT(W5,2))&amp;V5))))</f>
        <v>#VALUE!</v>
      </c>
      <c r="AR5" s="375">
        <f aca="true" t="shared" si="21" ref="AR5:AR68">IF(ISBLANK(T5)=TRUE,"",AQ5&amp;LEFT(U5,4))</f>
      </c>
      <c r="AZ5" s="380" t="s">
        <v>928</v>
      </c>
    </row>
    <row r="6" spans="1:52" s="380" customFormat="1" ht="13.5" customHeight="1">
      <c r="A6" s="375" t="str">
        <f>IF(ISBLANK(F6)=TRUE," ",IF(ISBLANK('様式2'!$C$23)=TRUE," ",'様式2'!$C$23))</f>
        <v> </v>
      </c>
      <c r="B6" s="375" t="e">
        <f>LOOKUP(LOOKUP(C6,'様式3'!$A$5:$A$44,'様式3'!$C$5:$C$44),'産業分類表'!$D$2:$D$68,'産業分類表'!$E$2:$E$68)</f>
        <v>#N/A</v>
      </c>
      <c r="C6" s="343"/>
      <c r="D6" s="343"/>
      <c r="E6" s="343"/>
      <c r="F6" s="343"/>
      <c r="G6" s="341"/>
      <c r="H6" s="349"/>
      <c r="I6" s="343"/>
      <c r="J6" s="343"/>
      <c r="K6" s="342"/>
      <c r="L6" s="350"/>
      <c r="M6" s="351"/>
      <c r="N6" s="343"/>
      <c r="O6" s="354">
        <f t="shared" si="0"/>
      </c>
      <c r="P6" s="354">
        <f t="shared" si="1"/>
      </c>
      <c r="Q6" s="389"/>
      <c r="R6" s="376">
        <f t="shared" si="2"/>
      </c>
      <c r="S6" s="376">
        <f t="shared" si="3"/>
      </c>
      <c r="T6" s="352"/>
      <c r="U6" s="353"/>
      <c r="V6" s="352"/>
      <c r="W6" s="343"/>
      <c r="X6" s="388">
        <f t="shared" si="18"/>
      </c>
      <c r="Y6" s="375" t="e">
        <f t="shared" si="4"/>
        <v>#N/A</v>
      </c>
      <c r="Z6" s="375" t="e">
        <f t="shared" si="5"/>
        <v>#N/A</v>
      </c>
      <c r="AA6" s="375">
        <f t="shared" si="19"/>
      </c>
      <c r="AB6" s="377">
        <f t="shared" si="6"/>
        <v>1</v>
      </c>
      <c r="AC6" s="375" t="str">
        <f t="shared" si="7"/>
        <v> </v>
      </c>
      <c r="AD6" s="375" t="e">
        <f t="shared" si="8"/>
        <v>#N/A</v>
      </c>
      <c r="AE6" s="375" t="str">
        <f t="shared" si="9"/>
        <v> </v>
      </c>
      <c r="AF6" s="375" t="e">
        <f t="shared" si="10"/>
        <v>#N/A</v>
      </c>
      <c r="AG6" s="378" t="str">
        <f t="shared" si="11"/>
        <v> </v>
      </c>
      <c r="AH6" s="379" t="e">
        <f t="shared" si="12"/>
        <v>#VALUE!</v>
      </c>
      <c r="AI6" s="378" t="e">
        <f t="shared" si="13"/>
        <v>#VALUE!</v>
      </c>
      <c r="AJ6" s="375" t="e">
        <f aca="true" t="shared" si="22" ref="AJ6:AJ67">IF(AF6="電","電",CONCATENATE(Y6,AD6,AF6,AA6))</f>
        <v>#N/A</v>
      </c>
      <c r="AK6" s="375" t="e">
        <f>VLOOKUP(AJ6,'排出係数表'!$A$4:$C$202,2,FALSE)</f>
        <v>#N/A</v>
      </c>
      <c r="AL6" s="375" t="e">
        <f t="shared" si="14"/>
        <v>#N/A</v>
      </c>
      <c r="AM6" s="375" t="e">
        <f>VLOOKUP(AJ6,'排出係数表'!$A$4:$C$202,3,FALSE)</f>
        <v>#N/A</v>
      </c>
      <c r="AN6" s="375" t="e">
        <f t="shared" si="15"/>
        <v>#N/A</v>
      </c>
      <c r="AO6" s="375">
        <f t="shared" si="16"/>
      </c>
      <c r="AP6" s="379" t="str">
        <f t="shared" si="17"/>
        <v>-</v>
      </c>
      <c r="AQ6" s="375" t="e">
        <f t="shared" si="20"/>
        <v>#VALUE!</v>
      </c>
      <c r="AR6" s="375">
        <f t="shared" si="21"/>
      </c>
      <c r="AZ6" s="380" t="s">
        <v>929</v>
      </c>
    </row>
    <row r="7" spans="1:52" s="380" customFormat="1" ht="13.5" customHeight="1">
      <c r="A7" s="375" t="str">
        <f>IF(ISBLANK(F7)=TRUE," ",IF(ISBLANK('様式2'!$C$23)=TRUE," ",'様式2'!$C$23))</f>
        <v> </v>
      </c>
      <c r="B7" s="375" t="e">
        <f>LOOKUP(LOOKUP(C7,'様式3'!$A$5:$A$44,'様式3'!$C$5:$C$44),'産業分類表'!$D$2:$D$68,'産業分類表'!$E$2:$E$68)</f>
        <v>#N/A</v>
      </c>
      <c r="C7" s="343"/>
      <c r="D7" s="343"/>
      <c r="E7" s="343"/>
      <c r="F7" s="343"/>
      <c r="G7" s="341"/>
      <c r="H7" s="349"/>
      <c r="I7" s="343"/>
      <c r="J7" s="343"/>
      <c r="K7" s="342"/>
      <c r="L7" s="350"/>
      <c r="M7" s="351"/>
      <c r="N7" s="343"/>
      <c r="O7" s="354">
        <f t="shared" si="0"/>
      </c>
      <c r="P7" s="354">
        <f t="shared" si="1"/>
      </c>
      <c r="Q7" s="389"/>
      <c r="R7" s="376">
        <f t="shared" si="2"/>
      </c>
      <c r="S7" s="376">
        <f t="shared" si="3"/>
      </c>
      <c r="T7" s="352"/>
      <c r="U7" s="353"/>
      <c r="V7" s="352"/>
      <c r="W7" s="343"/>
      <c r="X7" s="388">
        <f t="shared" si="18"/>
      </c>
      <c r="Y7" s="375" t="e">
        <f t="shared" si="4"/>
        <v>#N/A</v>
      </c>
      <c r="Z7" s="375" t="e">
        <f t="shared" si="5"/>
        <v>#N/A</v>
      </c>
      <c r="AA7" s="375">
        <f t="shared" si="19"/>
      </c>
      <c r="AB7" s="377">
        <f t="shared" si="6"/>
        <v>1</v>
      </c>
      <c r="AC7" s="375" t="str">
        <f t="shared" si="7"/>
        <v> </v>
      </c>
      <c r="AD7" s="375" t="e">
        <f t="shared" si="8"/>
        <v>#N/A</v>
      </c>
      <c r="AE7" s="375" t="str">
        <f t="shared" si="9"/>
        <v> </v>
      </c>
      <c r="AF7" s="375" t="e">
        <f t="shared" si="10"/>
        <v>#N/A</v>
      </c>
      <c r="AG7" s="378" t="str">
        <f t="shared" si="11"/>
        <v> </v>
      </c>
      <c r="AH7" s="379" t="e">
        <f t="shared" si="12"/>
        <v>#VALUE!</v>
      </c>
      <c r="AI7" s="378" t="e">
        <f t="shared" si="13"/>
        <v>#VALUE!</v>
      </c>
      <c r="AJ7" s="375" t="e">
        <f t="shared" si="22"/>
        <v>#N/A</v>
      </c>
      <c r="AK7" s="375" t="e">
        <f>VLOOKUP(AJ7,'排出係数表'!$A$4:$C$202,2,FALSE)</f>
        <v>#N/A</v>
      </c>
      <c r="AL7" s="375" t="e">
        <f t="shared" si="14"/>
        <v>#N/A</v>
      </c>
      <c r="AM7" s="375" t="e">
        <f>VLOOKUP(AJ7,'排出係数表'!$A$4:$C$202,3,FALSE)</f>
        <v>#N/A</v>
      </c>
      <c r="AN7" s="375" t="e">
        <f t="shared" si="15"/>
        <v>#N/A</v>
      </c>
      <c r="AO7" s="375">
        <f t="shared" si="16"/>
      </c>
      <c r="AP7" s="379" t="str">
        <f t="shared" si="17"/>
        <v>-</v>
      </c>
      <c r="AQ7" s="375" t="e">
        <f t="shared" si="20"/>
        <v>#VALUE!</v>
      </c>
      <c r="AR7" s="375">
        <f t="shared" si="21"/>
      </c>
      <c r="AZ7" s="380" t="s">
        <v>930</v>
      </c>
    </row>
    <row r="8" spans="1:52" s="380" customFormat="1" ht="13.5" customHeight="1">
      <c r="A8" s="375" t="str">
        <f>IF(ISBLANK(F8)=TRUE," ",IF(ISBLANK('様式2'!$C$23)=TRUE," ",'様式2'!$C$23))</f>
        <v> </v>
      </c>
      <c r="B8" s="375" t="e">
        <f>LOOKUP(LOOKUP(C8,'様式3'!$A$5:$A$44,'様式3'!$C$5:$C$44),'産業分類表'!$D$2:$D$68,'産業分類表'!$E$2:$E$68)</f>
        <v>#N/A</v>
      </c>
      <c r="C8" s="343"/>
      <c r="D8" s="343"/>
      <c r="E8" s="343"/>
      <c r="F8" s="343"/>
      <c r="G8" s="341"/>
      <c r="H8" s="349"/>
      <c r="I8" s="343"/>
      <c r="J8" s="343"/>
      <c r="K8" s="342"/>
      <c r="L8" s="350"/>
      <c r="M8" s="351"/>
      <c r="N8" s="343"/>
      <c r="O8" s="354">
        <f t="shared" si="0"/>
      </c>
      <c r="P8" s="354">
        <f t="shared" si="1"/>
      </c>
      <c r="Q8" s="389"/>
      <c r="R8" s="376">
        <f t="shared" si="2"/>
      </c>
      <c r="S8" s="376">
        <f t="shared" si="3"/>
      </c>
      <c r="T8" s="352"/>
      <c r="U8" s="353"/>
      <c r="V8" s="352"/>
      <c r="W8" s="343"/>
      <c r="X8" s="388">
        <f t="shared" si="18"/>
      </c>
      <c r="Y8" s="375" t="e">
        <f t="shared" si="4"/>
        <v>#N/A</v>
      </c>
      <c r="Z8" s="375" t="e">
        <f t="shared" si="5"/>
        <v>#N/A</v>
      </c>
      <c r="AA8" s="375">
        <f t="shared" si="19"/>
      </c>
      <c r="AB8" s="377">
        <f t="shared" si="6"/>
        <v>1</v>
      </c>
      <c r="AC8" s="375" t="str">
        <f t="shared" si="7"/>
        <v> </v>
      </c>
      <c r="AD8" s="375" t="e">
        <f t="shared" si="8"/>
        <v>#N/A</v>
      </c>
      <c r="AE8" s="375" t="str">
        <f t="shared" si="9"/>
        <v> </v>
      </c>
      <c r="AF8" s="375" t="e">
        <f t="shared" si="10"/>
        <v>#N/A</v>
      </c>
      <c r="AG8" s="378" t="str">
        <f t="shared" si="11"/>
        <v> </v>
      </c>
      <c r="AH8" s="379" t="e">
        <f t="shared" si="12"/>
        <v>#VALUE!</v>
      </c>
      <c r="AI8" s="378" t="e">
        <f t="shared" si="13"/>
        <v>#VALUE!</v>
      </c>
      <c r="AJ8" s="375" t="e">
        <f t="shared" si="22"/>
        <v>#N/A</v>
      </c>
      <c r="AK8" s="375" t="e">
        <f>VLOOKUP(AJ8,'排出係数表'!$A$4:$C$202,2,FALSE)</f>
        <v>#N/A</v>
      </c>
      <c r="AL8" s="375" t="e">
        <f t="shared" si="14"/>
        <v>#N/A</v>
      </c>
      <c r="AM8" s="375" t="e">
        <f>VLOOKUP(AJ8,'排出係数表'!$A$4:$C$202,3,FALSE)</f>
        <v>#N/A</v>
      </c>
      <c r="AN8" s="375" t="e">
        <f t="shared" si="15"/>
        <v>#N/A</v>
      </c>
      <c r="AO8" s="375">
        <f t="shared" si="16"/>
      </c>
      <c r="AP8" s="379" t="str">
        <f t="shared" si="17"/>
        <v>-</v>
      </c>
      <c r="AQ8" s="375" t="e">
        <f t="shared" si="20"/>
        <v>#VALUE!</v>
      </c>
      <c r="AR8" s="375">
        <f t="shared" si="21"/>
      </c>
      <c r="AZ8" s="380" t="s">
        <v>931</v>
      </c>
    </row>
    <row r="9" spans="1:52" s="380" customFormat="1" ht="13.5" customHeight="1">
      <c r="A9" s="375" t="str">
        <f>IF(ISBLANK(F9)=TRUE," ",IF(ISBLANK('様式2'!$C$23)=TRUE," ",'様式2'!$C$23))</f>
        <v> </v>
      </c>
      <c r="B9" s="375" t="e">
        <f>LOOKUP(LOOKUP(C9,'様式3'!$A$5:$A$44,'様式3'!$C$5:$C$44),'産業分類表'!$D$2:$D$68,'産業分類表'!$E$2:$E$68)</f>
        <v>#N/A</v>
      </c>
      <c r="C9" s="343"/>
      <c r="D9" s="343"/>
      <c r="E9" s="343"/>
      <c r="F9" s="343"/>
      <c r="G9" s="341"/>
      <c r="H9" s="349"/>
      <c r="I9" s="343"/>
      <c r="J9" s="343"/>
      <c r="K9" s="342"/>
      <c r="L9" s="350"/>
      <c r="M9" s="351"/>
      <c r="N9" s="343"/>
      <c r="O9" s="354">
        <f t="shared" si="0"/>
      </c>
      <c r="P9" s="354">
        <f t="shared" si="1"/>
      </c>
      <c r="Q9" s="389"/>
      <c r="R9" s="376">
        <f t="shared" si="2"/>
      </c>
      <c r="S9" s="376">
        <f t="shared" si="3"/>
      </c>
      <c r="T9" s="352"/>
      <c r="U9" s="353"/>
      <c r="V9" s="352"/>
      <c r="W9" s="343"/>
      <c r="X9" s="388">
        <f t="shared" si="18"/>
      </c>
      <c r="Y9" s="375" t="e">
        <f t="shared" si="4"/>
        <v>#N/A</v>
      </c>
      <c r="Z9" s="375" t="e">
        <f t="shared" si="5"/>
        <v>#N/A</v>
      </c>
      <c r="AA9" s="375">
        <f t="shared" si="19"/>
      </c>
      <c r="AB9" s="377">
        <f t="shared" si="6"/>
        <v>1</v>
      </c>
      <c r="AC9" s="375" t="str">
        <f t="shared" si="7"/>
        <v> </v>
      </c>
      <c r="AD9" s="375" t="e">
        <f t="shared" si="8"/>
        <v>#N/A</v>
      </c>
      <c r="AE9" s="375" t="str">
        <f t="shared" si="9"/>
        <v> </v>
      </c>
      <c r="AF9" s="375" t="e">
        <f t="shared" si="10"/>
        <v>#N/A</v>
      </c>
      <c r="AG9" s="378" t="str">
        <f t="shared" si="11"/>
        <v> </v>
      </c>
      <c r="AH9" s="379" t="e">
        <f t="shared" si="12"/>
        <v>#VALUE!</v>
      </c>
      <c r="AI9" s="378" t="e">
        <f t="shared" si="13"/>
        <v>#VALUE!</v>
      </c>
      <c r="AJ9" s="375" t="e">
        <f t="shared" si="22"/>
        <v>#N/A</v>
      </c>
      <c r="AK9" s="375" t="e">
        <f>VLOOKUP(AJ9,'排出係数表'!$A$4:$C$202,2,FALSE)</f>
        <v>#N/A</v>
      </c>
      <c r="AL9" s="375" t="e">
        <f t="shared" si="14"/>
        <v>#N/A</v>
      </c>
      <c r="AM9" s="375" t="e">
        <f>VLOOKUP(AJ9,'排出係数表'!$A$4:$C$202,3,FALSE)</f>
        <v>#N/A</v>
      </c>
      <c r="AN9" s="375" t="e">
        <f t="shared" si="15"/>
        <v>#N/A</v>
      </c>
      <c r="AO9" s="375">
        <f t="shared" si="16"/>
      </c>
      <c r="AP9" s="379" t="str">
        <f t="shared" si="17"/>
        <v>-</v>
      </c>
      <c r="AQ9" s="375" t="e">
        <f t="shared" si="20"/>
        <v>#VALUE!</v>
      </c>
      <c r="AR9" s="375">
        <f t="shared" si="21"/>
      </c>
      <c r="AZ9" s="380" t="s">
        <v>932</v>
      </c>
    </row>
    <row r="10" spans="1:52" s="380" customFormat="1" ht="13.5" customHeight="1">
      <c r="A10" s="375" t="str">
        <f>IF(ISBLANK(F10)=TRUE," ",IF(ISBLANK('様式2'!$C$23)=TRUE," ",'様式2'!$C$23))</f>
        <v> </v>
      </c>
      <c r="B10" s="375" t="e">
        <f>LOOKUP(LOOKUP(C10,'様式3'!$A$5:$A$44,'様式3'!$C$5:$C$44),'産業分類表'!$D$2:$D$68,'産業分類表'!$E$2:$E$68)</f>
        <v>#N/A</v>
      </c>
      <c r="C10" s="343"/>
      <c r="D10" s="343"/>
      <c r="E10" s="343"/>
      <c r="F10" s="343"/>
      <c r="G10" s="341"/>
      <c r="H10" s="349"/>
      <c r="I10" s="343"/>
      <c r="J10" s="343"/>
      <c r="K10" s="342"/>
      <c r="L10" s="350"/>
      <c r="M10" s="351"/>
      <c r="N10" s="343"/>
      <c r="O10" s="354">
        <f>IF(ISBLANK(J10)=TRUE,"",IF(AF10="メ","要確認",IF(ISBLANK(M10)=TRUE,IF(ISNUMBER(AK10*AL10)=TRUE,AK10*AL10,"要確認"),"要確認")))</f>
      </c>
      <c r="P10" s="354">
        <f>IF(ISBLANK(J10)=TRUE,"",IF(AF10="メ","要確認",IF(ISBLANK(N10)=TRUE,IF(ISNUMBER(AM10*AN10)=TRUE,AM10*AN10,"要確認"),"要確認")))</f>
      </c>
      <c r="Q10" s="389"/>
      <c r="R10" s="376">
        <f t="shared" si="2"/>
      </c>
      <c r="S10" s="376">
        <f t="shared" si="3"/>
      </c>
      <c r="T10" s="352"/>
      <c r="U10" s="353"/>
      <c r="V10" s="352"/>
      <c r="W10" s="343"/>
      <c r="X10" s="388">
        <f t="shared" si="18"/>
      </c>
      <c r="Y10" s="375" t="e">
        <f t="shared" si="4"/>
        <v>#N/A</v>
      </c>
      <c r="Z10" s="375" t="e">
        <f t="shared" si="5"/>
        <v>#N/A</v>
      </c>
      <c r="AA10" s="375">
        <f t="shared" si="19"/>
      </c>
      <c r="AB10" s="377">
        <f t="shared" si="6"/>
        <v>1</v>
      </c>
      <c r="AC10" s="375" t="str">
        <f t="shared" si="7"/>
        <v> </v>
      </c>
      <c r="AD10" s="375" t="e">
        <f t="shared" si="8"/>
        <v>#N/A</v>
      </c>
      <c r="AE10" s="375" t="str">
        <f t="shared" si="9"/>
        <v> </v>
      </c>
      <c r="AF10" s="375" t="e">
        <f t="shared" si="10"/>
        <v>#N/A</v>
      </c>
      <c r="AG10" s="378" t="str">
        <f t="shared" si="11"/>
        <v> </v>
      </c>
      <c r="AH10" s="379" t="e">
        <f t="shared" si="12"/>
        <v>#VALUE!</v>
      </c>
      <c r="AI10" s="378" t="e">
        <f t="shared" si="13"/>
        <v>#VALUE!</v>
      </c>
      <c r="AJ10" s="375" t="e">
        <f t="shared" si="22"/>
        <v>#N/A</v>
      </c>
      <c r="AK10" s="375" t="e">
        <f>VLOOKUP(AJ10,'排出係数表'!$A$4:$C$202,2,FALSE)</f>
        <v>#N/A</v>
      </c>
      <c r="AL10" s="375" t="e">
        <f t="shared" si="14"/>
        <v>#N/A</v>
      </c>
      <c r="AM10" s="375" t="e">
        <f>VLOOKUP(AJ10,'排出係数表'!$A$4:$C$202,3,FALSE)</f>
        <v>#N/A</v>
      </c>
      <c r="AN10" s="375" t="e">
        <f t="shared" si="15"/>
        <v>#N/A</v>
      </c>
      <c r="AO10" s="375">
        <f t="shared" si="16"/>
      </c>
      <c r="AP10" s="379" t="str">
        <f t="shared" si="17"/>
        <v>-</v>
      </c>
      <c r="AQ10" s="375" t="e">
        <f t="shared" si="20"/>
        <v>#VALUE!</v>
      </c>
      <c r="AR10" s="375">
        <f t="shared" si="21"/>
      </c>
      <c r="AZ10" s="380" t="s">
        <v>933</v>
      </c>
    </row>
    <row r="11" spans="1:52" s="380" customFormat="1" ht="13.5" customHeight="1">
      <c r="A11" s="375" t="str">
        <f>IF(ISBLANK(F11)=TRUE," ",IF(ISBLANK('様式2'!$C$23)=TRUE," ",'様式2'!$C$23))</f>
        <v> </v>
      </c>
      <c r="B11" s="375" t="e">
        <f>LOOKUP(LOOKUP(C11,'様式3'!$A$5:$A$44,'様式3'!$C$5:$C$44),'産業分類表'!$D$2:$D$68,'産業分類表'!$E$2:$E$68)</f>
        <v>#N/A</v>
      </c>
      <c r="C11" s="343"/>
      <c r="D11" s="343"/>
      <c r="E11" s="343"/>
      <c r="F11" s="343"/>
      <c r="G11" s="341"/>
      <c r="H11" s="349"/>
      <c r="I11" s="343"/>
      <c r="J11" s="343"/>
      <c r="K11" s="342"/>
      <c r="L11" s="350"/>
      <c r="M11" s="351"/>
      <c r="N11" s="343"/>
      <c r="O11" s="354">
        <f aca="true" t="shared" si="23" ref="O11:O18">IF(ISBLANK(J11)=TRUE,"",IF(AF11="メ","要確認",IF(ISBLANK(M11)=TRUE,IF(ISNUMBER(AK11*AL11)=TRUE,AK11*AL11,"要確認"),"要確認")))</f>
      </c>
      <c r="P11" s="354">
        <f aca="true" t="shared" si="24" ref="P11:P18">IF(ISBLANK(J11)=TRUE,"",IF(AF11="メ","要確認",IF(ISBLANK(N11)=TRUE,IF(ISNUMBER(AM11*AN11)=TRUE,AM11*AN11,"要確認"),"要確認")))</f>
      </c>
      <c r="Q11" s="389"/>
      <c r="R11" s="376">
        <f aca="true" t="shared" si="25" ref="R11:R74">IF(O11="","",IF(ISERROR(O11*AB11),"要確認",IF(ISBLANK(Q11)=TRUE,"要確認",IF(ISBLANK(O11)=TRUE,"要確認",O11*AB11*Q11/1000))))</f>
      </c>
      <c r="S11" s="376">
        <f aca="true" t="shared" si="26" ref="S11:S74">IF(P11="","",IF(ISERROR(P11*AB11),"要確認",IF(ISBLANK(Q11)=TRUE,"要確認",IF(ISBLANK(P11)=TRUE,"要確認",P11*AB11*Q11/1000))))</f>
      </c>
      <c r="T11" s="352"/>
      <c r="U11" s="353"/>
      <c r="V11" s="352"/>
      <c r="W11" s="343"/>
      <c r="X11" s="388">
        <f t="shared" si="18"/>
      </c>
      <c r="Y11" s="375" t="e">
        <f t="shared" si="4"/>
        <v>#N/A</v>
      </c>
      <c r="Z11" s="375" t="e">
        <f t="shared" si="5"/>
        <v>#N/A</v>
      </c>
      <c r="AA11" s="375">
        <f t="shared" si="19"/>
      </c>
      <c r="AB11" s="377">
        <f t="shared" si="6"/>
        <v>1</v>
      </c>
      <c r="AC11" s="375" t="str">
        <f t="shared" si="7"/>
        <v> </v>
      </c>
      <c r="AD11" s="375" t="e">
        <f t="shared" si="8"/>
        <v>#N/A</v>
      </c>
      <c r="AE11" s="375" t="str">
        <f t="shared" si="9"/>
        <v> </v>
      </c>
      <c r="AF11" s="375" t="e">
        <f t="shared" si="10"/>
        <v>#N/A</v>
      </c>
      <c r="AG11" s="378" t="str">
        <f t="shared" si="11"/>
        <v> </v>
      </c>
      <c r="AH11" s="379" t="e">
        <f t="shared" si="12"/>
        <v>#VALUE!</v>
      </c>
      <c r="AI11" s="378" t="e">
        <f t="shared" si="13"/>
        <v>#VALUE!</v>
      </c>
      <c r="AJ11" s="375" t="e">
        <f t="shared" si="22"/>
        <v>#N/A</v>
      </c>
      <c r="AK11" s="375" t="e">
        <f>VLOOKUP(AJ11,'排出係数表'!$A$4:$C$202,2,FALSE)</f>
        <v>#N/A</v>
      </c>
      <c r="AL11" s="375" t="e">
        <f t="shared" si="14"/>
        <v>#N/A</v>
      </c>
      <c r="AM11" s="375" t="e">
        <f>VLOOKUP(AJ11,'排出係数表'!$A$4:$C$202,3,FALSE)</f>
        <v>#N/A</v>
      </c>
      <c r="AN11" s="375" t="e">
        <f t="shared" si="15"/>
        <v>#N/A</v>
      </c>
      <c r="AO11" s="375">
        <f t="shared" si="16"/>
      </c>
      <c r="AP11" s="379" t="str">
        <f t="shared" si="17"/>
        <v>-</v>
      </c>
      <c r="AQ11" s="375" t="e">
        <f t="shared" si="20"/>
        <v>#VALUE!</v>
      </c>
      <c r="AR11" s="375">
        <f t="shared" si="21"/>
      </c>
      <c r="AZ11" s="380" t="s">
        <v>934</v>
      </c>
    </row>
    <row r="12" spans="1:52" s="380" customFormat="1" ht="13.5" customHeight="1">
      <c r="A12" s="375" t="str">
        <f>IF(ISBLANK(F12)=TRUE," ",IF(ISBLANK('様式2'!$C$23)=TRUE," ",'様式2'!$C$23))</f>
        <v> </v>
      </c>
      <c r="B12" s="375" t="e">
        <f>LOOKUP(LOOKUP(C12,'様式3'!$A$5:$A$44,'様式3'!$C$5:$C$44),'産業分類表'!$D$2:$D$68,'産業分類表'!$E$2:$E$68)</f>
        <v>#N/A</v>
      </c>
      <c r="C12" s="343"/>
      <c r="D12" s="343"/>
      <c r="E12" s="343"/>
      <c r="F12" s="343"/>
      <c r="G12" s="341"/>
      <c r="H12" s="349"/>
      <c r="I12" s="343"/>
      <c r="J12" s="343"/>
      <c r="K12" s="342"/>
      <c r="L12" s="350"/>
      <c r="M12" s="351"/>
      <c r="N12" s="343"/>
      <c r="O12" s="354">
        <f t="shared" si="23"/>
      </c>
      <c r="P12" s="354">
        <f t="shared" si="24"/>
      </c>
      <c r="Q12" s="389"/>
      <c r="R12" s="376">
        <f t="shared" si="25"/>
      </c>
      <c r="S12" s="376">
        <f t="shared" si="26"/>
      </c>
      <c r="T12" s="352"/>
      <c r="U12" s="353"/>
      <c r="V12" s="352"/>
      <c r="W12" s="343"/>
      <c r="X12" s="388">
        <f t="shared" si="18"/>
      </c>
      <c r="Y12" s="375" t="e">
        <f t="shared" si="4"/>
        <v>#N/A</v>
      </c>
      <c r="Z12" s="375" t="e">
        <f t="shared" si="5"/>
        <v>#N/A</v>
      </c>
      <c r="AA12" s="375">
        <f t="shared" si="19"/>
      </c>
      <c r="AB12" s="377">
        <f t="shared" si="6"/>
        <v>1</v>
      </c>
      <c r="AC12" s="375" t="str">
        <f t="shared" si="7"/>
        <v> </v>
      </c>
      <c r="AD12" s="375" t="e">
        <f t="shared" si="8"/>
        <v>#N/A</v>
      </c>
      <c r="AE12" s="375" t="str">
        <f t="shared" si="9"/>
        <v> </v>
      </c>
      <c r="AF12" s="375" t="e">
        <f t="shared" si="10"/>
        <v>#N/A</v>
      </c>
      <c r="AG12" s="378" t="str">
        <f t="shared" si="11"/>
        <v> </v>
      </c>
      <c r="AH12" s="379" t="e">
        <f>VALUE(LEFT(J12,2))</f>
        <v>#VALUE!</v>
      </c>
      <c r="AI12" s="378" t="e">
        <f t="shared" si="13"/>
        <v>#VALUE!</v>
      </c>
      <c r="AJ12" s="375" t="e">
        <f t="shared" si="22"/>
        <v>#N/A</v>
      </c>
      <c r="AK12" s="375" t="e">
        <f>VLOOKUP(AJ12,'排出係数表'!$A$4:$C$202,2,FALSE)</f>
        <v>#N/A</v>
      </c>
      <c r="AL12" s="375" t="e">
        <f t="shared" si="14"/>
        <v>#N/A</v>
      </c>
      <c r="AM12" s="375" t="e">
        <f>VLOOKUP(AJ12,'排出係数表'!$A$4:$C$202,3,FALSE)</f>
        <v>#N/A</v>
      </c>
      <c r="AN12" s="375" t="e">
        <f t="shared" si="15"/>
        <v>#N/A</v>
      </c>
      <c r="AO12" s="375">
        <f t="shared" si="16"/>
      </c>
      <c r="AP12" s="379" t="str">
        <f t="shared" si="17"/>
        <v>-</v>
      </c>
      <c r="AQ12" s="375" t="e">
        <f aca="true" t="shared" si="27" ref="AQ12:AQ75">IF(ISBLANK(T12)=TRUE,AI12,IF(T12="減車","減車",IF(OR(V12="同車種",ISBLANK(V12)=TRUE),IF(ISBLANK(W12)=TRUE,Z12&amp;AE12,VALUE(LEFT(W12,2))&amp;Z12&amp;AE12),IF(ISBLANK(W12)=TRUE,V12,VALUE(LEFT(W12,2))&amp;V12))))</f>
        <v>#VALUE!</v>
      </c>
      <c r="AR12" s="375">
        <f t="shared" si="21"/>
      </c>
      <c r="AZ12" s="380" t="s">
        <v>935</v>
      </c>
    </row>
    <row r="13" spans="1:52" s="380" customFormat="1" ht="13.5" customHeight="1">
      <c r="A13" s="375" t="str">
        <f>IF(ISBLANK(F13)=TRUE," ",IF(ISBLANK('様式2'!$C$23)=TRUE," ",'様式2'!$C$23))</f>
        <v> </v>
      </c>
      <c r="B13" s="375" t="e">
        <f>LOOKUP(LOOKUP(C13,'様式3'!$A$5:$A$44,'様式3'!$C$5:$C$44),'産業分類表'!$D$2:$D$68,'産業分類表'!$E$2:$E$68)</f>
        <v>#N/A</v>
      </c>
      <c r="C13" s="343"/>
      <c r="D13" s="343"/>
      <c r="E13" s="343"/>
      <c r="F13" s="343"/>
      <c r="G13" s="341"/>
      <c r="H13" s="349"/>
      <c r="I13" s="343"/>
      <c r="J13" s="343"/>
      <c r="K13" s="342"/>
      <c r="L13" s="350"/>
      <c r="M13" s="351"/>
      <c r="N13" s="343"/>
      <c r="O13" s="354">
        <f t="shared" si="23"/>
      </c>
      <c r="P13" s="354">
        <f t="shared" si="24"/>
      </c>
      <c r="Q13" s="389"/>
      <c r="R13" s="376">
        <f t="shared" si="25"/>
      </c>
      <c r="S13" s="376">
        <f t="shared" si="26"/>
      </c>
      <c r="T13" s="352"/>
      <c r="U13" s="353"/>
      <c r="V13" s="352"/>
      <c r="W13" s="343"/>
      <c r="X13" s="388">
        <f t="shared" si="18"/>
      </c>
      <c r="Y13" s="375" t="e">
        <f t="shared" si="4"/>
        <v>#N/A</v>
      </c>
      <c r="Z13" s="375" t="e">
        <f t="shared" si="5"/>
        <v>#N/A</v>
      </c>
      <c r="AA13" s="375">
        <f t="shared" si="19"/>
      </c>
      <c r="AB13" s="377">
        <f t="shared" si="6"/>
        <v>1</v>
      </c>
      <c r="AC13" s="375" t="str">
        <f t="shared" si="7"/>
        <v> </v>
      </c>
      <c r="AD13" s="375" t="e">
        <f t="shared" si="8"/>
        <v>#N/A</v>
      </c>
      <c r="AE13" s="375" t="str">
        <f t="shared" si="9"/>
        <v> </v>
      </c>
      <c r="AF13" s="375" t="e">
        <f t="shared" si="10"/>
        <v>#N/A</v>
      </c>
      <c r="AG13" s="378" t="str">
        <f t="shared" si="11"/>
        <v> </v>
      </c>
      <c r="AH13" s="379" t="e">
        <f aca="true" t="shared" si="28" ref="AH13:AH76">VALUE(LEFT(J13,2))</f>
        <v>#VALUE!</v>
      </c>
      <c r="AI13" s="378" t="e">
        <f t="shared" si="13"/>
        <v>#VALUE!</v>
      </c>
      <c r="AJ13" s="375" t="e">
        <f t="shared" si="22"/>
        <v>#N/A</v>
      </c>
      <c r="AK13" s="375" t="e">
        <f>VLOOKUP(AJ13,'排出係数表'!$A$4:$C$202,2,FALSE)</f>
        <v>#N/A</v>
      </c>
      <c r="AL13" s="375" t="e">
        <f t="shared" si="14"/>
        <v>#N/A</v>
      </c>
      <c r="AM13" s="375" t="e">
        <f>VLOOKUP(AJ13,'排出係数表'!$A$4:$C$202,3,FALSE)</f>
        <v>#N/A</v>
      </c>
      <c r="AN13" s="375" t="e">
        <f t="shared" si="15"/>
        <v>#N/A</v>
      </c>
      <c r="AO13" s="375">
        <f t="shared" si="16"/>
      </c>
      <c r="AP13" s="379" t="str">
        <f t="shared" si="17"/>
        <v>-</v>
      </c>
      <c r="AQ13" s="375" t="e">
        <f t="shared" si="27"/>
        <v>#VALUE!</v>
      </c>
      <c r="AR13" s="375">
        <f t="shared" si="21"/>
      </c>
      <c r="AZ13" s="380" t="s">
        <v>936</v>
      </c>
    </row>
    <row r="14" spans="1:52" s="380" customFormat="1" ht="13.5" customHeight="1">
      <c r="A14" s="375" t="str">
        <f>IF(ISBLANK(F14)=TRUE," ",IF(ISBLANK('様式2'!$C$23)=TRUE," ",'様式2'!$C$23))</f>
        <v> </v>
      </c>
      <c r="B14" s="375" t="e">
        <f>LOOKUP(LOOKUP(C14,'様式3'!$A$5:$A$44,'様式3'!$C$5:$C$44),'産業分類表'!$D$2:$D$68,'産業分類表'!$E$2:$E$68)</f>
        <v>#N/A</v>
      </c>
      <c r="C14" s="343"/>
      <c r="D14" s="343"/>
      <c r="E14" s="343"/>
      <c r="F14" s="343"/>
      <c r="G14" s="341"/>
      <c r="H14" s="349"/>
      <c r="I14" s="343"/>
      <c r="J14" s="343"/>
      <c r="K14" s="342"/>
      <c r="L14" s="350"/>
      <c r="M14" s="351"/>
      <c r="N14" s="343"/>
      <c r="O14" s="354">
        <f t="shared" si="23"/>
      </c>
      <c r="P14" s="354">
        <f t="shared" si="24"/>
      </c>
      <c r="Q14" s="389"/>
      <c r="R14" s="376">
        <f t="shared" si="25"/>
      </c>
      <c r="S14" s="376">
        <f t="shared" si="26"/>
      </c>
      <c r="T14" s="352"/>
      <c r="U14" s="353"/>
      <c r="V14" s="352"/>
      <c r="W14" s="343"/>
      <c r="X14" s="388">
        <f t="shared" si="18"/>
      </c>
      <c r="Y14" s="375" t="e">
        <f t="shared" si="4"/>
        <v>#N/A</v>
      </c>
      <c r="Z14" s="375" t="e">
        <f t="shared" si="5"/>
        <v>#N/A</v>
      </c>
      <c r="AA14" s="375">
        <f t="shared" si="19"/>
      </c>
      <c r="AB14" s="377">
        <f t="shared" si="6"/>
        <v>1</v>
      </c>
      <c r="AC14" s="375" t="str">
        <f t="shared" si="7"/>
        <v> </v>
      </c>
      <c r="AD14" s="375" t="e">
        <f t="shared" si="8"/>
        <v>#N/A</v>
      </c>
      <c r="AE14" s="375" t="str">
        <f t="shared" si="9"/>
        <v> </v>
      </c>
      <c r="AF14" s="375" t="e">
        <f t="shared" si="10"/>
        <v>#N/A</v>
      </c>
      <c r="AG14" s="378" t="str">
        <f t="shared" si="11"/>
        <v> </v>
      </c>
      <c r="AH14" s="379" t="e">
        <f t="shared" si="28"/>
        <v>#VALUE!</v>
      </c>
      <c r="AI14" s="378" t="e">
        <f t="shared" si="13"/>
        <v>#VALUE!</v>
      </c>
      <c r="AJ14" s="375" t="e">
        <f t="shared" si="22"/>
        <v>#N/A</v>
      </c>
      <c r="AK14" s="375" t="e">
        <f>VLOOKUP(AJ14,'排出係数表'!$A$4:$C$202,2,FALSE)</f>
        <v>#N/A</v>
      </c>
      <c r="AL14" s="375" t="e">
        <f t="shared" si="14"/>
        <v>#N/A</v>
      </c>
      <c r="AM14" s="375" t="e">
        <f>VLOOKUP(AJ14,'排出係数表'!$A$4:$C$202,3,FALSE)</f>
        <v>#N/A</v>
      </c>
      <c r="AN14" s="375" t="e">
        <f t="shared" si="15"/>
        <v>#N/A</v>
      </c>
      <c r="AO14" s="375">
        <f t="shared" si="16"/>
      </c>
      <c r="AP14" s="379" t="str">
        <f t="shared" si="17"/>
        <v>-</v>
      </c>
      <c r="AQ14" s="375" t="e">
        <f t="shared" si="27"/>
        <v>#VALUE!</v>
      </c>
      <c r="AR14" s="375">
        <f t="shared" si="21"/>
      </c>
      <c r="AZ14" s="380" t="s">
        <v>937</v>
      </c>
    </row>
    <row r="15" spans="1:52" s="380" customFormat="1" ht="13.5" customHeight="1">
      <c r="A15" s="375" t="str">
        <f>IF(ISBLANK(F15)=TRUE," ",IF(ISBLANK('様式2'!$C$23)=TRUE," ",'様式2'!$C$23))</f>
        <v> </v>
      </c>
      <c r="B15" s="375" t="e">
        <f>LOOKUP(LOOKUP(C15,'様式3'!$A$5:$A$44,'様式3'!$C$5:$C$44),'産業分類表'!$D$2:$D$68,'産業分類表'!$E$2:$E$68)</f>
        <v>#N/A</v>
      </c>
      <c r="C15" s="343"/>
      <c r="D15" s="343"/>
      <c r="E15" s="343"/>
      <c r="F15" s="343"/>
      <c r="G15" s="341"/>
      <c r="H15" s="349"/>
      <c r="I15" s="343"/>
      <c r="J15" s="343"/>
      <c r="K15" s="342"/>
      <c r="L15" s="350"/>
      <c r="M15" s="351"/>
      <c r="N15" s="343"/>
      <c r="O15" s="354">
        <f t="shared" si="23"/>
      </c>
      <c r="P15" s="354">
        <f t="shared" si="24"/>
      </c>
      <c r="Q15" s="389"/>
      <c r="R15" s="376">
        <f t="shared" si="25"/>
      </c>
      <c r="S15" s="376">
        <f t="shared" si="26"/>
      </c>
      <c r="T15" s="352"/>
      <c r="U15" s="353"/>
      <c r="V15" s="352"/>
      <c r="W15" s="343"/>
      <c r="X15" s="388">
        <f t="shared" si="18"/>
      </c>
      <c r="Y15" s="375" t="e">
        <f t="shared" si="4"/>
        <v>#N/A</v>
      </c>
      <c r="Z15" s="375" t="e">
        <f t="shared" si="5"/>
        <v>#N/A</v>
      </c>
      <c r="AA15" s="375">
        <f t="shared" si="19"/>
      </c>
      <c r="AB15" s="377">
        <f t="shared" si="6"/>
        <v>1</v>
      </c>
      <c r="AC15" s="375" t="str">
        <f t="shared" si="7"/>
        <v> </v>
      </c>
      <c r="AD15" s="375" t="e">
        <f t="shared" si="8"/>
        <v>#N/A</v>
      </c>
      <c r="AE15" s="375" t="str">
        <f t="shared" si="9"/>
        <v> </v>
      </c>
      <c r="AF15" s="375" t="e">
        <f t="shared" si="10"/>
        <v>#N/A</v>
      </c>
      <c r="AG15" s="378" t="str">
        <f t="shared" si="11"/>
        <v> </v>
      </c>
      <c r="AH15" s="379" t="e">
        <f t="shared" si="28"/>
        <v>#VALUE!</v>
      </c>
      <c r="AI15" s="378" t="e">
        <f t="shared" si="13"/>
        <v>#VALUE!</v>
      </c>
      <c r="AJ15" s="375" t="e">
        <f t="shared" si="22"/>
        <v>#N/A</v>
      </c>
      <c r="AK15" s="375" t="e">
        <f>VLOOKUP(AJ15,'排出係数表'!$A$4:$C$202,2,FALSE)</f>
        <v>#N/A</v>
      </c>
      <c r="AL15" s="375" t="e">
        <f t="shared" si="14"/>
        <v>#N/A</v>
      </c>
      <c r="AM15" s="375" t="e">
        <f>VLOOKUP(AJ15,'排出係数表'!$A$4:$C$202,3,FALSE)</f>
        <v>#N/A</v>
      </c>
      <c r="AN15" s="375" t="e">
        <f t="shared" si="15"/>
        <v>#N/A</v>
      </c>
      <c r="AO15" s="375">
        <f t="shared" si="16"/>
      </c>
      <c r="AP15" s="379" t="str">
        <f t="shared" si="17"/>
        <v>-</v>
      </c>
      <c r="AQ15" s="375" t="e">
        <f t="shared" si="27"/>
        <v>#VALUE!</v>
      </c>
      <c r="AR15" s="375">
        <f t="shared" si="21"/>
      </c>
      <c r="AZ15" s="380" t="s">
        <v>938</v>
      </c>
    </row>
    <row r="16" spans="1:52" s="380" customFormat="1" ht="13.5" customHeight="1">
      <c r="A16" s="375" t="str">
        <f>IF(ISBLANK(F16)=TRUE," ",IF(ISBLANK('様式2'!$C$23)=TRUE," ",'様式2'!$C$23))</f>
        <v> </v>
      </c>
      <c r="B16" s="375" t="e">
        <f>LOOKUP(LOOKUP(C16,'様式3'!$A$5:$A$44,'様式3'!$C$5:$C$44),'産業分類表'!$D$2:$D$68,'産業分類表'!$E$2:$E$68)</f>
        <v>#N/A</v>
      </c>
      <c r="C16" s="343"/>
      <c r="D16" s="343"/>
      <c r="E16" s="343"/>
      <c r="F16" s="343"/>
      <c r="G16" s="341"/>
      <c r="H16" s="349"/>
      <c r="I16" s="343"/>
      <c r="J16" s="343"/>
      <c r="K16" s="342"/>
      <c r="L16" s="350"/>
      <c r="M16" s="351"/>
      <c r="N16" s="343"/>
      <c r="O16" s="354">
        <f t="shared" si="23"/>
      </c>
      <c r="P16" s="354">
        <f t="shared" si="24"/>
      </c>
      <c r="Q16" s="389"/>
      <c r="R16" s="376">
        <f t="shared" si="25"/>
      </c>
      <c r="S16" s="376">
        <f t="shared" si="26"/>
      </c>
      <c r="T16" s="352"/>
      <c r="U16" s="353"/>
      <c r="V16" s="352"/>
      <c r="W16" s="343"/>
      <c r="X16" s="388">
        <f t="shared" si="18"/>
      </c>
      <c r="Y16" s="375" t="e">
        <f t="shared" si="4"/>
        <v>#N/A</v>
      </c>
      <c r="Z16" s="375" t="e">
        <f t="shared" si="5"/>
        <v>#N/A</v>
      </c>
      <c r="AA16" s="375">
        <f t="shared" si="19"/>
      </c>
      <c r="AB16" s="377">
        <f t="shared" si="6"/>
        <v>1</v>
      </c>
      <c r="AC16" s="375" t="str">
        <f t="shared" si="7"/>
        <v> </v>
      </c>
      <c r="AD16" s="375" t="e">
        <f t="shared" si="8"/>
        <v>#N/A</v>
      </c>
      <c r="AE16" s="375" t="str">
        <f t="shared" si="9"/>
        <v> </v>
      </c>
      <c r="AF16" s="375" t="e">
        <f t="shared" si="10"/>
        <v>#N/A</v>
      </c>
      <c r="AG16" s="378" t="str">
        <f t="shared" si="11"/>
        <v> </v>
      </c>
      <c r="AH16" s="379" t="e">
        <f t="shared" si="28"/>
        <v>#VALUE!</v>
      </c>
      <c r="AI16" s="378" t="e">
        <f t="shared" si="13"/>
        <v>#VALUE!</v>
      </c>
      <c r="AJ16" s="375" t="e">
        <f t="shared" si="22"/>
        <v>#N/A</v>
      </c>
      <c r="AK16" s="375" t="e">
        <f>VLOOKUP(AJ16,'排出係数表'!$A$4:$C$202,2,FALSE)</f>
        <v>#N/A</v>
      </c>
      <c r="AL16" s="375" t="e">
        <f t="shared" si="14"/>
        <v>#N/A</v>
      </c>
      <c r="AM16" s="375" t="e">
        <f>VLOOKUP(AJ16,'排出係数表'!$A$4:$C$202,3,FALSE)</f>
        <v>#N/A</v>
      </c>
      <c r="AN16" s="375" t="e">
        <f t="shared" si="15"/>
        <v>#N/A</v>
      </c>
      <c r="AO16" s="375">
        <f t="shared" si="16"/>
      </c>
      <c r="AP16" s="379" t="str">
        <f t="shared" si="17"/>
        <v>-</v>
      </c>
      <c r="AQ16" s="375" t="e">
        <f t="shared" si="27"/>
        <v>#VALUE!</v>
      </c>
      <c r="AR16" s="375">
        <f t="shared" si="21"/>
      </c>
      <c r="AZ16" s="380" t="s">
        <v>939</v>
      </c>
    </row>
    <row r="17" spans="1:52" s="380" customFormat="1" ht="13.5" customHeight="1">
      <c r="A17" s="375" t="str">
        <f>IF(ISBLANK(F17)=TRUE," ",IF(ISBLANK('様式2'!$C$23)=TRUE," ",'様式2'!$C$23))</f>
        <v> </v>
      </c>
      <c r="B17" s="375" t="e">
        <f>LOOKUP(LOOKUP(C17,'様式3'!$A$5:$A$44,'様式3'!$C$5:$C$44),'産業分類表'!$D$2:$D$68,'産業分類表'!$E$2:$E$68)</f>
        <v>#N/A</v>
      </c>
      <c r="C17" s="343"/>
      <c r="D17" s="343"/>
      <c r="E17" s="343"/>
      <c r="F17" s="343"/>
      <c r="G17" s="341"/>
      <c r="H17" s="349"/>
      <c r="I17" s="343"/>
      <c r="J17" s="343"/>
      <c r="K17" s="342"/>
      <c r="L17" s="350"/>
      <c r="M17" s="351"/>
      <c r="N17" s="343"/>
      <c r="O17" s="354">
        <f t="shared" si="23"/>
      </c>
      <c r="P17" s="354">
        <f t="shared" si="24"/>
      </c>
      <c r="Q17" s="389"/>
      <c r="R17" s="376">
        <f t="shared" si="25"/>
      </c>
      <c r="S17" s="376">
        <f t="shared" si="26"/>
      </c>
      <c r="T17" s="352"/>
      <c r="U17" s="353"/>
      <c r="V17" s="352"/>
      <c r="W17" s="343"/>
      <c r="X17" s="388">
        <f t="shared" si="18"/>
      </c>
      <c r="Y17" s="375" t="e">
        <f t="shared" si="4"/>
        <v>#N/A</v>
      </c>
      <c r="Z17" s="375" t="e">
        <f t="shared" si="5"/>
        <v>#N/A</v>
      </c>
      <c r="AA17" s="375">
        <f t="shared" si="19"/>
      </c>
      <c r="AB17" s="377">
        <f t="shared" si="6"/>
        <v>1</v>
      </c>
      <c r="AC17" s="375" t="str">
        <f t="shared" si="7"/>
        <v> </v>
      </c>
      <c r="AD17" s="375" t="e">
        <f t="shared" si="8"/>
        <v>#N/A</v>
      </c>
      <c r="AE17" s="375" t="str">
        <f t="shared" si="9"/>
        <v> </v>
      </c>
      <c r="AF17" s="375" t="e">
        <f t="shared" si="10"/>
        <v>#N/A</v>
      </c>
      <c r="AG17" s="378" t="str">
        <f t="shared" si="11"/>
        <v> </v>
      </c>
      <c r="AH17" s="379" t="e">
        <f t="shared" si="28"/>
        <v>#VALUE!</v>
      </c>
      <c r="AI17" s="378" t="e">
        <f t="shared" si="13"/>
        <v>#VALUE!</v>
      </c>
      <c r="AJ17" s="375" t="e">
        <f t="shared" si="22"/>
        <v>#N/A</v>
      </c>
      <c r="AK17" s="375" t="e">
        <f>VLOOKUP(AJ17,'排出係数表'!$A$4:$C$202,2,FALSE)</f>
        <v>#N/A</v>
      </c>
      <c r="AL17" s="375" t="e">
        <f t="shared" si="14"/>
        <v>#N/A</v>
      </c>
      <c r="AM17" s="375" t="e">
        <f>VLOOKUP(AJ17,'排出係数表'!$A$4:$C$202,3,FALSE)</f>
        <v>#N/A</v>
      </c>
      <c r="AN17" s="375" t="e">
        <f t="shared" si="15"/>
        <v>#N/A</v>
      </c>
      <c r="AO17" s="375">
        <f t="shared" si="16"/>
      </c>
      <c r="AP17" s="379" t="str">
        <f t="shared" si="17"/>
        <v>-</v>
      </c>
      <c r="AQ17" s="375" t="e">
        <f t="shared" si="27"/>
        <v>#VALUE!</v>
      </c>
      <c r="AR17" s="375">
        <f t="shared" si="21"/>
      </c>
      <c r="AZ17" s="380" t="s">
        <v>940</v>
      </c>
    </row>
    <row r="18" spans="1:52" s="380" customFormat="1" ht="13.5" customHeight="1">
      <c r="A18" s="375" t="str">
        <f>IF(ISBLANK(F18)=TRUE," ",IF(ISBLANK('様式2'!$C$23)=TRUE," ",'様式2'!$C$23))</f>
        <v> </v>
      </c>
      <c r="B18" s="375" t="e">
        <f>LOOKUP(LOOKUP(C18,'様式3'!$A$5:$A$44,'様式3'!$C$5:$C$44),'産業分類表'!$D$2:$D$68,'産業分類表'!$E$2:$E$68)</f>
        <v>#N/A</v>
      </c>
      <c r="C18" s="343"/>
      <c r="D18" s="343"/>
      <c r="E18" s="343"/>
      <c r="F18" s="343"/>
      <c r="G18" s="341"/>
      <c r="H18" s="349"/>
      <c r="I18" s="343"/>
      <c r="J18" s="343"/>
      <c r="K18" s="342"/>
      <c r="L18" s="350"/>
      <c r="M18" s="351"/>
      <c r="N18" s="343"/>
      <c r="O18" s="354">
        <f t="shared" si="23"/>
      </c>
      <c r="P18" s="354">
        <f t="shared" si="24"/>
      </c>
      <c r="Q18" s="389"/>
      <c r="R18" s="376">
        <f t="shared" si="25"/>
      </c>
      <c r="S18" s="376">
        <f t="shared" si="26"/>
      </c>
      <c r="T18" s="352"/>
      <c r="U18" s="353"/>
      <c r="V18" s="352"/>
      <c r="W18" s="343"/>
      <c r="X18" s="388">
        <f t="shared" si="18"/>
      </c>
      <c r="Y18" s="375" t="e">
        <f t="shared" si="4"/>
        <v>#N/A</v>
      </c>
      <c r="Z18" s="375" t="e">
        <f t="shared" si="5"/>
        <v>#N/A</v>
      </c>
      <c r="AA18" s="375">
        <f t="shared" si="19"/>
      </c>
      <c r="AB18" s="377">
        <f t="shared" si="6"/>
        <v>1</v>
      </c>
      <c r="AC18" s="375" t="str">
        <f t="shared" si="7"/>
        <v> </v>
      </c>
      <c r="AD18" s="375" t="e">
        <f t="shared" si="8"/>
        <v>#N/A</v>
      </c>
      <c r="AE18" s="375" t="str">
        <f t="shared" si="9"/>
        <v> </v>
      </c>
      <c r="AF18" s="375" t="e">
        <f t="shared" si="10"/>
        <v>#N/A</v>
      </c>
      <c r="AG18" s="378" t="str">
        <f t="shared" si="11"/>
        <v> </v>
      </c>
      <c r="AH18" s="379" t="e">
        <f t="shared" si="28"/>
        <v>#VALUE!</v>
      </c>
      <c r="AI18" s="378" t="e">
        <f t="shared" si="13"/>
        <v>#VALUE!</v>
      </c>
      <c r="AJ18" s="375" t="e">
        <f t="shared" si="22"/>
        <v>#N/A</v>
      </c>
      <c r="AK18" s="375" t="e">
        <f>VLOOKUP(AJ18,'排出係数表'!$A$4:$C$202,2,FALSE)</f>
        <v>#N/A</v>
      </c>
      <c r="AL18" s="375" t="e">
        <f t="shared" si="14"/>
        <v>#N/A</v>
      </c>
      <c r="AM18" s="375" t="e">
        <f>VLOOKUP(AJ18,'排出係数表'!$A$4:$C$202,3,FALSE)</f>
        <v>#N/A</v>
      </c>
      <c r="AN18" s="375" t="e">
        <f t="shared" si="15"/>
        <v>#N/A</v>
      </c>
      <c r="AO18" s="375">
        <f t="shared" si="16"/>
      </c>
      <c r="AP18" s="379" t="str">
        <f t="shared" si="17"/>
        <v>-</v>
      </c>
      <c r="AQ18" s="375" t="e">
        <f t="shared" si="27"/>
        <v>#VALUE!</v>
      </c>
      <c r="AR18" s="375">
        <f t="shared" si="21"/>
      </c>
      <c r="AZ18" s="380" t="s">
        <v>941</v>
      </c>
    </row>
    <row r="19" spans="1:54" s="380" customFormat="1" ht="13.5" customHeight="1">
      <c r="A19" s="375" t="str">
        <f>IF(ISBLANK(F19)=TRUE," ",IF(ISBLANK('様式2'!$C$23)=TRUE," ",'様式2'!$C$23))</f>
        <v> </v>
      </c>
      <c r="B19" s="375" t="e">
        <f>LOOKUP(LOOKUP(C19,'様式3'!$A$5:$A$44,'様式3'!$C$5:$C$44),'産業分類表'!$D$2:$D$68,'産業分類表'!$E$2:$E$68)</f>
        <v>#N/A</v>
      </c>
      <c r="C19" s="343"/>
      <c r="D19" s="343"/>
      <c r="E19" s="343"/>
      <c r="F19" s="343"/>
      <c r="G19" s="341"/>
      <c r="H19" s="349"/>
      <c r="I19" s="343"/>
      <c r="J19" s="343"/>
      <c r="K19" s="342"/>
      <c r="L19" s="350"/>
      <c r="M19" s="351"/>
      <c r="N19" s="343"/>
      <c r="O19" s="354">
        <f aca="true" t="shared" si="29" ref="O19:O82">IF(ISBLANK(J19)=TRUE,"",IF(AF19="メ","要確認",IF(ISBLANK(M19)=TRUE,IF(ISNUMBER(AK19*AL19)=TRUE,AK19*AL19,"要確認"),"要確認")))</f>
      </c>
      <c r="P19" s="354">
        <f aca="true" t="shared" si="30" ref="P19:P82">IF(ISBLANK(J19)=TRUE,"",IF(AF19="メ","要確認",IF(ISBLANK(N19)=TRUE,IF(ISNUMBER(AM19*AN19)=TRUE,AM19*AN19,"要確認"),"要確認")))</f>
      </c>
      <c r="Q19" s="389"/>
      <c r="R19" s="376">
        <f t="shared" si="25"/>
      </c>
      <c r="S19" s="376">
        <f t="shared" si="26"/>
      </c>
      <c r="T19" s="352"/>
      <c r="U19" s="353"/>
      <c r="V19" s="352"/>
      <c r="W19" s="343"/>
      <c r="X19" s="388">
        <f t="shared" si="18"/>
      </c>
      <c r="Y19" s="375" t="e">
        <f t="shared" si="4"/>
        <v>#N/A</v>
      </c>
      <c r="Z19" s="375" t="e">
        <f t="shared" si="5"/>
        <v>#N/A</v>
      </c>
      <c r="AA19" s="375">
        <f t="shared" si="19"/>
      </c>
      <c r="AB19" s="377">
        <f t="shared" si="6"/>
        <v>1</v>
      </c>
      <c r="AC19" s="375" t="str">
        <f t="shared" si="7"/>
        <v> </v>
      </c>
      <c r="AD19" s="375" t="e">
        <f t="shared" si="8"/>
        <v>#N/A</v>
      </c>
      <c r="AE19" s="375" t="str">
        <f t="shared" si="9"/>
        <v> </v>
      </c>
      <c r="AF19" s="375" t="e">
        <f t="shared" si="10"/>
        <v>#N/A</v>
      </c>
      <c r="AG19" s="378" t="str">
        <f t="shared" si="11"/>
        <v> </v>
      </c>
      <c r="AH19" s="379" t="e">
        <f t="shared" si="28"/>
        <v>#VALUE!</v>
      </c>
      <c r="AI19" s="378" t="e">
        <f t="shared" si="13"/>
        <v>#VALUE!</v>
      </c>
      <c r="AJ19" s="375" t="e">
        <f t="shared" si="22"/>
        <v>#N/A</v>
      </c>
      <c r="AK19" s="375" t="e">
        <f>VLOOKUP(AJ19,'排出係数表'!$A$4:$C$202,2,FALSE)</f>
        <v>#N/A</v>
      </c>
      <c r="AL19" s="375" t="e">
        <f t="shared" si="14"/>
        <v>#N/A</v>
      </c>
      <c r="AM19" s="375" t="e">
        <f>VLOOKUP(AJ19,'排出係数表'!$A$4:$C$202,3,FALSE)</f>
        <v>#N/A</v>
      </c>
      <c r="AN19" s="375" t="e">
        <f t="shared" si="15"/>
        <v>#N/A</v>
      </c>
      <c r="AO19" s="375">
        <f t="shared" si="16"/>
      </c>
      <c r="AP19" s="379" t="str">
        <f t="shared" si="17"/>
        <v>-</v>
      </c>
      <c r="AQ19" s="375" t="e">
        <f t="shared" si="27"/>
        <v>#VALUE!</v>
      </c>
      <c r="AR19" s="375">
        <f t="shared" si="21"/>
      </c>
      <c r="AY19" s="382"/>
      <c r="AZ19" s="380" t="s">
        <v>942</v>
      </c>
      <c r="BA19" s="382"/>
      <c r="BB19" s="382"/>
    </row>
    <row r="20" spans="1:54" s="380" customFormat="1" ht="13.5" customHeight="1">
      <c r="A20" s="375" t="str">
        <f>IF(ISBLANK(F20)=TRUE," ",IF(ISBLANK('様式2'!$C$23)=TRUE," ",'様式2'!$C$23))</f>
        <v> </v>
      </c>
      <c r="B20" s="375" t="e">
        <f>LOOKUP(LOOKUP(C20,'様式3'!$A$5:$A$44,'様式3'!$C$5:$C$44),'産業分類表'!$D$2:$D$68,'産業分類表'!$E$2:$E$68)</f>
        <v>#N/A</v>
      </c>
      <c r="C20" s="343"/>
      <c r="D20" s="343"/>
      <c r="E20" s="343"/>
      <c r="F20" s="343"/>
      <c r="G20" s="341"/>
      <c r="H20" s="349"/>
      <c r="I20" s="343"/>
      <c r="J20" s="343"/>
      <c r="K20" s="342"/>
      <c r="L20" s="350"/>
      <c r="M20" s="351"/>
      <c r="N20" s="343"/>
      <c r="O20" s="354">
        <f t="shared" si="29"/>
      </c>
      <c r="P20" s="354">
        <f t="shared" si="30"/>
      </c>
      <c r="Q20" s="389"/>
      <c r="R20" s="376">
        <f t="shared" si="25"/>
      </c>
      <c r="S20" s="376">
        <f t="shared" si="26"/>
      </c>
      <c r="T20" s="352"/>
      <c r="U20" s="353"/>
      <c r="V20" s="352"/>
      <c r="W20" s="343"/>
      <c r="X20" s="388">
        <f t="shared" si="18"/>
      </c>
      <c r="Y20" s="375" t="e">
        <f t="shared" si="4"/>
        <v>#N/A</v>
      </c>
      <c r="Z20" s="375" t="e">
        <f t="shared" si="5"/>
        <v>#N/A</v>
      </c>
      <c r="AA20" s="375">
        <f t="shared" si="19"/>
      </c>
      <c r="AB20" s="377">
        <f t="shared" si="6"/>
        <v>1</v>
      </c>
      <c r="AC20" s="375" t="str">
        <f t="shared" si="7"/>
        <v> </v>
      </c>
      <c r="AD20" s="375" t="e">
        <f t="shared" si="8"/>
        <v>#N/A</v>
      </c>
      <c r="AE20" s="375" t="str">
        <f t="shared" si="9"/>
        <v> </v>
      </c>
      <c r="AF20" s="375" t="e">
        <f t="shared" si="10"/>
        <v>#N/A</v>
      </c>
      <c r="AG20" s="378" t="str">
        <f t="shared" si="11"/>
        <v> </v>
      </c>
      <c r="AH20" s="379" t="e">
        <f t="shared" si="28"/>
        <v>#VALUE!</v>
      </c>
      <c r="AI20" s="378" t="e">
        <f t="shared" si="13"/>
        <v>#VALUE!</v>
      </c>
      <c r="AJ20" s="375" t="e">
        <f t="shared" si="22"/>
        <v>#N/A</v>
      </c>
      <c r="AK20" s="375" t="e">
        <f>VLOOKUP(AJ20,'排出係数表'!$A$4:$C$202,2,FALSE)</f>
        <v>#N/A</v>
      </c>
      <c r="AL20" s="375" t="e">
        <f t="shared" si="14"/>
        <v>#N/A</v>
      </c>
      <c r="AM20" s="375" t="e">
        <f>VLOOKUP(AJ20,'排出係数表'!$A$4:$C$202,3,FALSE)</f>
        <v>#N/A</v>
      </c>
      <c r="AN20" s="375" t="e">
        <f t="shared" si="15"/>
        <v>#N/A</v>
      </c>
      <c r="AO20" s="375">
        <f t="shared" si="16"/>
      </c>
      <c r="AP20" s="379" t="str">
        <f t="shared" si="17"/>
        <v>-</v>
      </c>
      <c r="AQ20" s="375" t="e">
        <f t="shared" si="27"/>
        <v>#VALUE!</v>
      </c>
      <c r="AR20" s="375">
        <f t="shared" si="21"/>
      </c>
      <c r="AY20" s="384"/>
      <c r="AZ20" s="380" t="s">
        <v>943</v>
      </c>
      <c r="BA20" s="384"/>
      <c r="BB20" s="384"/>
    </row>
    <row r="21" spans="1:54" s="380" customFormat="1" ht="13.5" customHeight="1">
      <c r="A21" s="375" t="str">
        <f>IF(ISBLANK(F21)=TRUE," ",IF(ISBLANK('様式2'!$C$23)=TRUE," ",'様式2'!$C$23))</f>
        <v> </v>
      </c>
      <c r="B21" s="375" t="e">
        <f>LOOKUP(LOOKUP(C21,'様式3'!$A$5:$A$44,'様式3'!$C$5:$C$44),'産業分類表'!$D$2:$D$68,'産業分類表'!$E$2:$E$68)</f>
        <v>#N/A</v>
      </c>
      <c r="C21" s="343"/>
      <c r="D21" s="343"/>
      <c r="E21" s="343"/>
      <c r="F21" s="343"/>
      <c r="G21" s="341"/>
      <c r="H21" s="349"/>
      <c r="I21" s="343"/>
      <c r="J21" s="343"/>
      <c r="K21" s="342"/>
      <c r="L21" s="350"/>
      <c r="M21" s="351"/>
      <c r="N21" s="343"/>
      <c r="O21" s="354">
        <f t="shared" si="29"/>
      </c>
      <c r="P21" s="354">
        <f t="shared" si="30"/>
      </c>
      <c r="Q21" s="389"/>
      <c r="R21" s="376">
        <f t="shared" si="25"/>
      </c>
      <c r="S21" s="376">
        <f t="shared" si="26"/>
      </c>
      <c r="T21" s="352"/>
      <c r="U21" s="353"/>
      <c r="V21" s="352"/>
      <c r="W21" s="343"/>
      <c r="X21" s="388">
        <f t="shared" si="18"/>
      </c>
      <c r="Y21" s="375" t="e">
        <f t="shared" si="4"/>
        <v>#N/A</v>
      </c>
      <c r="Z21" s="375" t="e">
        <f t="shared" si="5"/>
        <v>#N/A</v>
      </c>
      <c r="AA21" s="375">
        <f t="shared" si="19"/>
      </c>
      <c r="AB21" s="377">
        <f t="shared" si="6"/>
        <v>1</v>
      </c>
      <c r="AC21" s="375" t="str">
        <f t="shared" si="7"/>
        <v> </v>
      </c>
      <c r="AD21" s="375" t="e">
        <f t="shared" si="8"/>
        <v>#N/A</v>
      </c>
      <c r="AE21" s="375" t="str">
        <f t="shared" si="9"/>
        <v> </v>
      </c>
      <c r="AF21" s="375" t="e">
        <f t="shared" si="10"/>
        <v>#N/A</v>
      </c>
      <c r="AG21" s="378" t="str">
        <f t="shared" si="11"/>
        <v> </v>
      </c>
      <c r="AH21" s="379" t="e">
        <f t="shared" si="28"/>
        <v>#VALUE!</v>
      </c>
      <c r="AI21" s="378" t="e">
        <f t="shared" si="13"/>
        <v>#VALUE!</v>
      </c>
      <c r="AJ21" s="375" t="e">
        <f t="shared" si="22"/>
        <v>#N/A</v>
      </c>
      <c r="AK21" s="375" t="e">
        <f>VLOOKUP(AJ21,'排出係数表'!$A$4:$C$202,2,FALSE)</f>
        <v>#N/A</v>
      </c>
      <c r="AL21" s="375" t="e">
        <f t="shared" si="14"/>
        <v>#N/A</v>
      </c>
      <c r="AM21" s="375" t="e">
        <f>VLOOKUP(AJ21,'排出係数表'!$A$4:$C$202,3,FALSE)</f>
        <v>#N/A</v>
      </c>
      <c r="AN21" s="375" t="e">
        <f t="shared" si="15"/>
        <v>#N/A</v>
      </c>
      <c r="AO21" s="375">
        <f t="shared" si="16"/>
      </c>
      <c r="AP21" s="379" t="str">
        <f t="shared" si="17"/>
        <v>-</v>
      </c>
      <c r="AQ21" s="375" t="e">
        <f t="shared" si="27"/>
        <v>#VALUE!</v>
      </c>
      <c r="AR21" s="375">
        <f t="shared" si="21"/>
      </c>
      <c r="AY21" s="384"/>
      <c r="AZ21" s="380" t="s">
        <v>944</v>
      </c>
      <c r="BA21" s="384"/>
      <c r="BB21" s="384"/>
    </row>
    <row r="22" spans="1:54" s="380" customFormat="1" ht="13.5" customHeight="1">
      <c r="A22" s="375" t="str">
        <f>IF(ISBLANK(F22)=TRUE," ",IF(ISBLANK('様式2'!$C$23)=TRUE," ",'様式2'!$C$23))</f>
        <v> </v>
      </c>
      <c r="B22" s="375" t="e">
        <f>LOOKUP(LOOKUP(C22,'様式3'!$A$5:$A$44,'様式3'!$C$5:$C$44),'産業分類表'!$D$2:$D$68,'産業分類表'!$E$2:$E$68)</f>
        <v>#N/A</v>
      </c>
      <c r="C22" s="343"/>
      <c r="D22" s="343"/>
      <c r="E22" s="343"/>
      <c r="F22" s="343"/>
      <c r="G22" s="341"/>
      <c r="H22" s="349"/>
      <c r="I22" s="343"/>
      <c r="J22" s="343"/>
      <c r="K22" s="342"/>
      <c r="L22" s="350"/>
      <c r="M22" s="351"/>
      <c r="N22" s="343"/>
      <c r="O22" s="354">
        <f t="shared" si="29"/>
      </c>
      <c r="P22" s="354">
        <f t="shared" si="30"/>
      </c>
      <c r="Q22" s="389"/>
      <c r="R22" s="376">
        <f t="shared" si="25"/>
      </c>
      <c r="S22" s="376">
        <f t="shared" si="26"/>
      </c>
      <c r="T22" s="352"/>
      <c r="U22" s="353"/>
      <c r="V22" s="352"/>
      <c r="W22" s="343"/>
      <c r="X22" s="388">
        <f t="shared" si="18"/>
      </c>
      <c r="Y22" s="375" t="e">
        <f t="shared" si="4"/>
        <v>#N/A</v>
      </c>
      <c r="Z22" s="375" t="e">
        <f t="shared" si="5"/>
        <v>#N/A</v>
      </c>
      <c r="AA22" s="375">
        <f t="shared" si="19"/>
      </c>
      <c r="AB22" s="377">
        <f t="shared" si="6"/>
        <v>1</v>
      </c>
      <c r="AC22" s="375" t="str">
        <f t="shared" si="7"/>
        <v> </v>
      </c>
      <c r="AD22" s="375" t="e">
        <f t="shared" si="8"/>
        <v>#N/A</v>
      </c>
      <c r="AE22" s="375" t="str">
        <f t="shared" si="9"/>
        <v> </v>
      </c>
      <c r="AF22" s="375" t="e">
        <f t="shared" si="10"/>
        <v>#N/A</v>
      </c>
      <c r="AG22" s="378" t="str">
        <f t="shared" si="11"/>
        <v> </v>
      </c>
      <c r="AH22" s="379" t="e">
        <f t="shared" si="28"/>
        <v>#VALUE!</v>
      </c>
      <c r="AI22" s="378" t="e">
        <f t="shared" si="13"/>
        <v>#VALUE!</v>
      </c>
      <c r="AJ22" s="375" t="e">
        <f t="shared" si="22"/>
        <v>#N/A</v>
      </c>
      <c r="AK22" s="375" t="e">
        <f>VLOOKUP(AJ22,'排出係数表'!$A$4:$C$202,2,FALSE)</f>
        <v>#N/A</v>
      </c>
      <c r="AL22" s="375" t="e">
        <f t="shared" si="14"/>
        <v>#N/A</v>
      </c>
      <c r="AM22" s="375" t="e">
        <f>VLOOKUP(AJ22,'排出係数表'!$A$4:$C$202,3,FALSE)</f>
        <v>#N/A</v>
      </c>
      <c r="AN22" s="375" t="e">
        <f t="shared" si="15"/>
        <v>#N/A</v>
      </c>
      <c r="AO22" s="375">
        <f t="shared" si="16"/>
      </c>
      <c r="AP22" s="379" t="str">
        <f t="shared" si="17"/>
        <v>-</v>
      </c>
      <c r="AQ22" s="375" t="e">
        <f t="shared" si="27"/>
        <v>#VALUE!</v>
      </c>
      <c r="AR22" s="375">
        <f t="shared" si="21"/>
      </c>
      <c r="AY22" s="384"/>
      <c r="AZ22" s="380" t="s">
        <v>945</v>
      </c>
      <c r="BA22" s="384"/>
      <c r="BB22" s="384"/>
    </row>
    <row r="23" spans="1:54" s="380" customFormat="1" ht="13.5" customHeight="1">
      <c r="A23" s="375" t="str">
        <f>IF(ISBLANK(F23)=TRUE," ",IF(ISBLANK('様式2'!$C$23)=TRUE," ",'様式2'!$C$23))</f>
        <v> </v>
      </c>
      <c r="B23" s="375" t="e">
        <f>LOOKUP(LOOKUP(C23,'様式3'!$A$5:$A$44,'様式3'!$C$5:$C$44),'産業分類表'!$D$2:$D$68,'産業分類表'!$E$2:$E$68)</f>
        <v>#N/A</v>
      </c>
      <c r="C23" s="343"/>
      <c r="D23" s="343"/>
      <c r="E23" s="343"/>
      <c r="F23" s="343"/>
      <c r="G23" s="341"/>
      <c r="H23" s="349"/>
      <c r="I23" s="343"/>
      <c r="J23" s="343"/>
      <c r="K23" s="342"/>
      <c r="L23" s="350"/>
      <c r="M23" s="351"/>
      <c r="N23" s="343"/>
      <c r="O23" s="354">
        <f t="shared" si="29"/>
      </c>
      <c r="P23" s="354">
        <f t="shared" si="30"/>
      </c>
      <c r="Q23" s="389"/>
      <c r="R23" s="376">
        <f t="shared" si="25"/>
      </c>
      <c r="S23" s="376">
        <f t="shared" si="26"/>
      </c>
      <c r="T23" s="352"/>
      <c r="U23" s="353"/>
      <c r="V23" s="352"/>
      <c r="W23" s="343"/>
      <c r="X23" s="388">
        <f t="shared" si="18"/>
      </c>
      <c r="Y23" s="375" t="e">
        <f t="shared" si="4"/>
        <v>#N/A</v>
      </c>
      <c r="Z23" s="375" t="e">
        <f t="shared" si="5"/>
        <v>#N/A</v>
      </c>
      <c r="AA23" s="375">
        <f t="shared" si="19"/>
      </c>
      <c r="AB23" s="377">
        <f t="shared" si="6"/>
        <v>1</v>
      </c>
      <c r="AC23" s="375" t="str">
        <f t="shared" si="7"/>
        <v> </v>
      </c>
      <c r="AD23" s="375" t="e">
        <f t="shared" si="8"/>
        <v>#N/A</v>
      </c>
      <c r="AE23" s="375" t="str">
        <f t="shared" si="9"/>
        <v> </v>
      </c>
      <c r="AF23" s="375" t="e">
        <f t="shared" si="10"/>
        <v>#N/A</v>
      </c>
      <c r="AG23" s="378" t="str">
        <f t="shared" si="11"/>
        <v> </v>
      </c>
      <c r="AH23" s="379" t="e">
        <f t="shared" si="28"/>
        <v>#VALUE!</v>
      </c>
      <c r="AI23" s="378" t="e">
        <f t="shared" si="13"/>
        <v>#VALUE!</v>
      </c>
      <c r="AJ23" s="375" t="e">
        <f t="shared" si="22"/>
        <v>#N/A</v>
      </c>
      <c r="AK23" s="375" t="e">
        <f>VLOOKUP(AJ23,'排出係数表'!$A$4:$C$202,2,FALSE)</f>
        <v>#N/A</v>
      </c>
      <c r="AL23" s="375" t="e">
        <f t="shared" si="14"/>
        <v>#N/A</v>
      </c>
      <c r="AM23" s="375" t="e">
        <f>VLOOKUP(AJ23,'排出係数表'!$A$4:$C$202,3,FALSE)</f>
        <v>#N/A</v>
      </c>
      <c r="AN23" s="375" t="e">
        <f t="shared" si="15"/>
        <v>#N/A</v>
      </c>
      <c r="AO23" s="375">
        <f t="shared" si="16"/>
      </c>
      <c r="AP23" s="379" t="str">
        <f t="shared" si="17"/>
        <v>-</v>
      </c>
      <c r="AQ23" s="375" t="e">
        <f t="shared" si="27"/>
        <v>#VALUE!</v>
      </c>
      <c r="AR23" s="375">
        <f t="shared" si="21"/>
      </c>
      <c r="AY23" s="384"/>
      <c r="AZ23" s="380" t="s">
        <v>946</v>
      </c>
      <c r="BA23" s="384"/>
      <c r="BB23" s="384"/>
    </row>
    <row r="24" spans="1:54" s="380" customFormat="1" ht="13.5" customHeight="1">
      <c r="A24" s="375" t="str">
        <f>IF(ISBLANK(F24)=TRUE," ",IF(ISBLANK('様式2'!$C$23)=TRUE," ",'様式2'!$C$23))</f>
        <v> </v>
      </c>
      <c r="B24" s="375" t="e">
        <f>LOOKUP(LOOKUP(C24,'様式3'!$A$5:$A$44,'様式3'!$C$5:$C$44),'産業分類表'!$D$2:$D$68,'産業分類表'!$E$2:$E$68)</f>
        <v>#N/A</v>
      </c>
      <c r="C24" s="343"/>
      <c r="D24" s="343"/>
      <c r="E24" s="343"/>
      <c r="F24" s="343"/>
      <c r="G24" s="341"/>
      <c r="H24" s="349"/>
      <c r="I24" s="343"/>
      <c r="J24" s="343"/>
      <c r="K24" s="342"/>
      <c r="L24" s="350"/>
      <c r="M24" s="351"/>
      <c r="N24" s="343"/>
      <c r="O24" s="354">
        <f t="shared" si="29"/>
      </c>
      <c r="P24" s="354">
        <f t="shared" si="30"/>
      </c>
      <c r="Q24" s="389"/>
      <c r="R24" s="376">
        <f t="shared" si="25"/>
      </c>
      <c r="S24" s="376">
        <f t="shared" si="26"/>
      </c>
      <c r="T24" s="352"/>
      <c r="U24" s="353"/>
      <c r="V24" s="352"/>
      <c r="W24" s="343"/>
      <c r="X24" s="388">
        <f t="shared" si="18"/>
      </c>
      <c r="Y24" s="375" t="e">
        <f t="shared" si="4"/>
        <v>#N/A</v>
      </c>
      <c r="Z24" s="375" t="e">
        <f t="shared" si="5"/>
        <v>#N/A</v>
      </c>
      <c r="AA24" s="375">
        <f t="shared" si="19"/>
      </c>
      <c r="AB24" s="377">
        <f t="shared" si="6"/>
        <v>1</v>
      </c>
      <c r="AC24" s="375" t="str">
        <f t="shared" si="7"/>
        <v> </v>
      </c>
      <c r="AD24" s="375" t="e">
        <f t="shared" si="8"/>
        <v>#N/A</v>
      </c>
      <c r="AE24" s="375" t="str">
        <f t="shared" si="9"/>
        <v> </v>
      </c>
      <c r="AF24" s="375" t="e">
        <f t="shared" si="10"/>
        <v>#N/A</v>
      </c>
      <c r="AG24" s="378" t="str">
        <f t="shared" si="11"/>
        <v> </v>
      </c>
      <c r="AH24" s="379" t="e">
        <f t="shared" si="28"/>
        <v>#VALUE!</v>
      </c>
      <c r="AI24" s="378" t="e">
        <f t="shared" si="13"/>
        <v>#VALUE!</v>
      </c>
      <c r="AJ24" s="375" t="e">
        <f t="shared" si="22"/>
        <v>#N/A</v>
      </c>
      <c r="AK24" s="375" t="e">
        <f>VLOOKUP(AJ24,'排出係数表'!$A$4:$C$202,2,FALSE)</f>
        <v>#N/A</v>
      </c>
      <c r="AL24" s="375" t="e">
        <f t="shared" si="14"/>
        <v>#N/A</v>
      </c>
      <c r="AM24" s="375" t="e">
        <f>VLOOKUP(AJ24,'排出係数表'!$A$4:$C$202,3,FALSE)</f>
        <v>#N/A</v>
      </c>
      <c r="AN24" s="375" t="e">
        <f t="shared" si="15"/>
        <v>#N/A</v>
      </c>
      <c r="AO24" s="375">
        <f t="shared" si="16"/>
      </c>
      <c r="AP24" s="379" t="str">
        <f t="shared" si="17"/>
        <v>-</v>
      </c>
      <c r="AQ24" s="375" t="e">
        <f t="shared" si="27"/>
        <v>#VALUE!</v>
      </c>
      <c r="AR24" s="375">
        <f t="shared" si="21"/>
      </c>
      <c r="AY24" s="384"/>
      <c r="AZ24" s="380" t="s">
        <v>947</v>
      </c>
      <c r="BA24" s="384"/>
      <c r="BB24" s="384"/>
    </row>
    <row r="25" spans="1:54" s="380" customFormat="1" ht="13.5" customHeight="1">
      <c r="A25" s="375" t="str">
        <f>IF(ISBLANK(F25)=TRUE," ",IF(ISBLANK('様式2'!$C$23)=TRUE," ",'様式2'!$C$23))</f>
        <v> </v>
      </c>
      <c r="B25" s="375" t="e">
        <f>LOOKUP(LOOKUP(C25,'様式3'!$A$5:$A$44,'様式3'!$C$5:$C$44),'産業分類表'!$D$2:$D$68,'産業分類表'!$E$2:$E$68)</f>
        <v>#N/A</v>
      </c>
      <c r="C25" s="343"/>
      <c r="D25" s="343"/>
      <c r="E25" s="343"/>
      <c r="F25" s="343"/>
      <c r="G25" s="341"/>
      <c r="H25" s="349"/>
      <c r="I25" s="343"/>
      <c r="J25" s="343"/>
      <c r="K25" s="342"/>
      <c r="L25" s="350"/>
      <c r="M25" s="351"/>
      <c r="N25" s="343"/>
      <c r="O25" s="354">
        <f t="shared" si="29"/>
      </c>
      <c r="P25" s="354">
        <f t="shared" si="30"/>
      </c>
      <c r="Q25" s="389"/>
      <c r="R25" s="376">
        <f t="shared" si="25"/>
      </c>
      <c r="S25" s="376">
        <f t="shared" si="26"/>
      </c>
      <c r="T25" s="352"/>
      <c r="U25" s="353"/>
      <c r="V25" s="352"/>
      <c r="W25" s="343"/>
      <c r="X25" s="388">
        <f t="shared" si="18"/>
      </c>
      <c r="Y25" s="375" t="e">
        <f t="shared" si="4"/>
        <v>#N/A</v>
      </c>
      <c r="Z25" s="375" t="e">
        <f t="shared" si="5"/>
        <v>#N/A</v>
      </c>
      <c r="AA25" s="375">
        <f t="shared" si="19"/>
      </c>
      <c r="AB25" s="377">
        <f t="shared" si="6"/>
        <v>1</v>
      </c>
      <c r="AC25" s="375" t="str">
        <f t="shared" si="7"/>
        <v> </v>
      </c>
      <c r="AD25" s="375" t="e">
        <f t="shared" si="8"/>
        <v>#N/A</v>
      </c>
      <c r="AE25" s="375" t="str">
        <f t="shared" si="9"/>
        <v> </v>
      </c>
      <c r="AF25" s="375" t="e">
        <f t="shared" si="10"/>
        <v>#N/A</v>
      </c>
      <c r="AG25" s="378" t="str">
        <f t="shared" si="11"/>
        <v> </v>
      </c>
      <c r="AH25" s="379" t="e">
        <f t="shared" si="28"/>
        <v>#VALUE!</v>
      </c>
      <c r="AI25" s="378" t="e">
        <f t="shared" si="13"/>
        <v>#VALUE!</v>
      </c>
      <c r="AJ25" s="375" t="e">
        <f t="shared" si="22"/>
        <v>#N/A</v>
      </c>
      <c r="AK25" s="375" t="e">
        <f>VLOOKUP(AJ25,'排出係数表'!$A$4:$C$202,2,FALSE)</f>
        <v>#N/A</v>
      </c>
      <c r="AL25" s="375" t="e">
        <f t="shared" si="14"/>
        <v>#N/A</v>
      </c>
      <c r="AM25" s="375" t="e">
        <f>VLOOKUP(AJ25,'排出係数表'!$A$4:$C$202,3,FALSE)</f>
        <v>#N/A</v>
      </c>
      <c r="AN25" s="375" t="e">
        <f t="shared" si="15"/>
        <v>#N/A</v>
      </c>
      <c r="AO25" s="375">
        <f t="shared" si="16"/>
      </c>
      <c r="AP25" s="379" t="str">
        <f t="shared" si="17"/>
        <v>-</v>
      </c>
      <c r="AQ25" s="375" t="e">
        <f t="shared" si="27"/>
        <v>#VALUE!</v>
      </c>
      <c r="AR25" s="375">
        <f t="shared" si="21"/>
      </c>
      <c r="AY25" s="384"/>
      <c r="AZ25" s="380" t="s">
        <v>948</v>
      </c>
      <c r="BA25" s="384"/>
      <c r="BB25" s="384"/>
    </row>
    <row r="26" spans="1:54" s="380" customFormat="1" ht="13.5" customHeight="1">
      <c r="A26" s="375" t="str">
        <f>IF(ISBLANK(F26)=TRUE," ",IF(ISBLANK('様式2'!$C$23)=TRUE," ",'様式2'!$C$23))</f>
        <v> </v>
      </c>
      <c r="B26" s="375" t="e">
        <f>LOOKUP(LOOKUP(C26,'様式3'!$A$5:$A$44,'様式3'!$C$5:$C$44),'産業分類表'!$D$2:$D$68,'産業分類表'!$E$2:$E$68)</f>
        <v>#N/A</v>
      </c>
      <c r="C26" s="343"/>
      <c r="D26" s="343"/>
      <c r="E26" s="343"/>
      <c r="F26" s="343"/>
      <c r="G26" s="341"/>
      <c r="H26" s="349"/>
      <c r="I26" s="343"/>
      <c r="J26" s="343"/>
      <c r="K26" s="342"/>
      <c r="L26" s="350"/>
      <c r="M26" s="351"/>
      <c r="N26" s="343"/>
      <c r="O26" s="354">
        <f t="shared" si="29"/>
      </c>
      <c r="P26" s="354">
        <f t="shared" si="30"/>
      </c>
      <c r="Q26" s="389"/>
      <c r="R26" s="376">
        <f t="shared" si="25"/>
      </c>
      <c r="S26" s="376">
        <f t="shared" si="26"/>
      </c>
      <c r="T26" s="352"/>
      <c r="U26" s="353"/>
      <c r="V26" s="352"/>
      <c r="W26" s="343"/>
      <c r="X26" s="388">
        <f t="shared" si="18"/>
      </c>
      <c r="Y26" s="375" t="e">
        <f t="shared" si="4"/>
        <v>#N/A</v>
      </c>
      <c r="Z26" s="375" t="e">
        <f t="shared" si="5"/>
        <v>#N/A</v>
      </c>
      <c r="AA26" s="375">
        <f t="shared" si="19"/>
      </c>
      <c r="AB26" s="377">
        <f t="shared" si="6"/>
        <v>1</v>
      </c>
      <c r="AC26" s="375" t="str">
        <f t="shared" si="7"/>
        <v> </v>
      </c>
      <c r="AD26" s="375" t="e">
        <f t="shared" si="8"/>
        <v>#N/A</v>
      </c>
      <c r="AE26" s="375" t="str">
        <f t="shared" si="9"/>
        <v> </v>
      </c>
      <c r="AF26" s="375" t="e">
        <f t="shared" si="10"/>
        <v>#N/A</v>
      </c>
      <c r="AG26" s="378" t="str">
        <f t="shared" si="11"/>
        <v> </v>
      </c>
      <c r="AH26" s="379" t="e">
        <f t="shared" si="28"/>
        <v>#VALUE!</v>
      </c>
      <c r="AI26" s="378" t="e">
        <f t="shared" si="13"/>
        <v>#VALUE!</v>
      </c>
      <c r="AJ26" s="375" t="e">
        <f t="shared" si="22"/>
        <v>#N/A</v>
      </c>
      <c r="AK26" s="375" t="e">
        <f>VLOOKUP(AJ26,'排出係数表'!$A$4:$C$202,2,FALSE)</f>
        <v>#N/A</v>
      </c>
      <c r="AL26" s="375" t="e">
        <f t="shared" si="14"/>
        <v>#N/A</v>
      </c>
      <c r="AM26" s="375" t="e">
        <f>VLOOKUP(AJ26,'排出係数表'!$A$4:$C$202,3,FALSE)</f>
        <v>#N/A</v>
      </c>
      <c r="AN26" s="375" t="e">
        <f t="shared" si="15"/>
        <v>#N/A</v>
      </c>
      <c r="AO26" s="375">
        <f t="shared" si="16"/>
      </c>
      <c r="AP26" s="379" t="str">
        <f t="shared" si="17"/>
        <v>-</v>
      </c>
      <c r="AQ26" s="375" t="e">
        <f t="shared" si="27"/>
        <v>#VALUE!</v>
      </c>
      <c r="AR26" s="375">
        <f t="shared" si="21"/>
      </c>
      <c r="AY26" s="384"/>
      <c r="AZ26" s="380" t="s">
        <v>949</v>
      </c>
      <c r="BA26" s="384"/>
      <c r="BB26" s="384"/>
    </row>
    <row r="27" spans="1:54" s="380" customFormat="1" ht="13.5" customHeight="1">
      <c r="A27" s="375" t="str">
        <f>IF(ISBLANK(F27)=TRUE," ",IF(ISBLANK('様式2'!$C$23)=TRUE," ",'様式2'!$C$23))</f>
        <v> </v>
      </c>
      <c r="B27" s="375" t="e">
        <f>LOOKUP(LOOKUP(C27,'様式3'!$A$5:$A$44,'様式3'!$C$5:$C$44),'産業分類表'!$D$2:$D$68,'産業分類表'!$E$2:$E$68)</f>
        <v>#N/A</v>
      </c>
      <c r="C27" s="343"/>
      <c r="D27" s="343"/>
      <c r="E27" s="343"/>
      <c r="F27" s="343"/>
      <c r="G27" s="341"/>
      <c r="H27" s="349"/>
      <c r="I27" s="343"/>
      <c r="J27" s="343"/>
      <c r="K27" s="342"/>
      <c r="L27" s="350"/>
      <c r="M27" s="351"/>
      <c r="N27" s="343"/>
      <c r="O27" s="354">
        <f t="shared" si="29"/>
      </c>
      <c r="P27" s="354">
        <f t="shared" si="30"/>
      </c>
      <c r="Q27" s="389"/>
      <c r="R27" s="376">
        <f t="shared" si="25"/>
      </c>
      <c r="S27" s="376">
        <f t="shared" si="26"/>
      </c>
      <c r="T27" s="352"/>
      <c r="U27" s="353"/>
      <c r="V27" s="352"/>
      <c r="W27" s="343"/>
      <c r="X27" s="388">
        <f t="shared" si="18"/>
      </c>
      <c r="Y27" s="375" t="e">
        <f t="shared" si="4"/>
        <v>#N/A</v>
      </c>
      <c r="Z27" s="375" t="e">
        <f t="shared" si="5"/>
        <v>#N/A</v>
      </c>
      <c r="AA27" s="375">
        <f t="shared" si="19"/>
      </c>
      <c r="AB27" s="377">
        <f t="shared" si="6"/>
        <v>1</v>
      </c>
      <c r="AC27" s="375" t="str">
        <f t="shared" si="7"/>
        <v> </v>
      </c>
      <c r="AD27" s="375" t="e">
        <f t="shared" si="8"/>
        <v>#N/A</v>
      </c>
      <c r="AE27" s="375" t="str">
        <f t="shared" si="9"/>
        <v> </v>
      </c>
      <c r="AF27" s="375" t="e">
        <f t="shared" si="10"/>
        <v>#N/A</v>
      </c>
      <c r="AG27" s="378" t="str">
        <f t="shared" si="11"/>
        <v> </v>
      </c>
      <c r="AH27" s="379" t="e">
        <f t="shared" si="28"/>
        <v>#VALUE!</v>
      </c>
      <c r="AI27" s="378" t="e">
        <f t="shared" si="13"/>
        <v>#VALUE!</v>
      </c>
      <c r="AJ27" s="375" t="e">
        <f t="shared" si="22"/>
        <v>#N/A</v>
      </c>
      <c r="AK27" s="375" t="e">
        <f>VLOOKUP(AJ27,'排出係数表'!$A$4:$C$202,2,FALSE)</f>
        <v>#N/A</v>
      </c>
      <c r="AL27" s="375" t="e">
        <f t="shared" si="14"/>
        <v>#N/A</v>
      </c>
      <c r="AM27" s="375" t="e">
        <f>VLOOKUP(AJ27,'排出係数表'!$A$4:$C$202,3,FALSE)</f>
        <v>#N/A</v>
      </c>
      <c r="AN27" s="375" t="e">
        <f t="shared" si="15"/>
        <v>#N/A</v>
      </c>
      <c r="AO27" s="375">
        <f t="shared" si="16"/>
      </c>
      <c r="AP27" s="379" t="str">
        <f t="shared" si="17"/>
        <v>-</v>
      </c>
      <c r="AQ27" s="375" t="e">
        <f t="shared" si="27"/>
        <v>#VALUE!</v>
      </c>
      <c r="AR27" s="375">
        <f t="shared" si="21"/>
      </c>
      <c r="AY27" s="384"/>
      <c r="AZ27" s="380" t="s">
        <v>950</v>
      </c>
      <c r="BA27" s="384"/>
      <c r="BB27" s="384"/>
    </row>
    <row r="28" spans="1:54" s="380" customFormat="1" ht="13.5" customHeight="1">
      <c r="A28" s="375" t="str">
        <f>IF(ISBLANK(F28)=TRUE," ",IF(ISBLANK('様式2'!$C$23)=TRUE," ",'様式2'!$C$23))</f>
        <v> </v>
      </c>
      <c r="B28" s="375" t="e">
        <f>LOOKUP(LOOKUP(C28,'様式3'!$A$5:$A$44,'様式3'!$C$5:$C$44),'産業分類表'!$D$2:$D$68,'産業分類表'!$E$2:$E$68)</f>
        <v>#N/A</v>
      </c>
      <c r="C28" s="343"/>
      <c r="D28" s="343"/>
      <c r="E28" s="343"/>
      <c r="F28" s="343"/>
      <c r="G28" s="341"/>
      <c r="H28" s="349"/>
      <c r="I28" s="343"/>
      <c r="J28" s="343"/>
      <c r="K28" s="342"/>
      <c r="L28" s="350"/>
      <c r="M28" s="351"/>
      <c r="N28" s="343"/>
      <c r="O28" s="354">
        <f t="shared" si="29"/>
      </c>
      <c r="P28" s="354">
        <f t="shared" si="30"/>
      </c>
      <c r="Q28" s="389"/>
      <c r="R28" s="376">
        <f t="shared" si="25"/>
      </c>
      <c r="S28" s="376">
        <f t="shared" si="26"/>
      </c>
      <c r="T28" s="352"/>
      <c r="U28" s="353"/>
      <c r="V28" s="352"/>
      <c r="W28" s="343"/>
      <c r="X28" s="388">
        <f t="shared" si="18"/>
      </c>
      <c r="Y28" s="375" t="e">
        <f t="shared" si="4"/>
        <v>#N/A</v>
      </c>
      <c r="Z28" s="375" t="e">
        <f t="shared" si="5"/>
        <v>#N/A</v>
      </c>
      <c r="AA28" s="375">
        <f t="shared" si="19"/>
      </c>
      <c r="AB28" s="377">
        <f t="shared" si="6"/>
        <v>1</v>
      </c>
      <c r="AC28" s="375" t="str">
        <f t="shared" si="7"/>
        <v> </v>
      </c>
      <c r="AD28" s="375" t="e">
        <f t="shared" si="8"/>
        <v>#N/A</v>
      </c>
      <c r="AE28" s="375" t="str">
        <f t="shared" si="9"/>
        <v> </v>
      </c>
      <c r="AF28" s="375" t="e">
        <f t="shared" si="10"/>
        <v>#N/A</v>
      </c>
      <c r="AG28" s="378" t="str">
        <f t="shared" si="11"/>
        <v> </v>
      </c>
      <c r="AH28" s="379" t="e">
        <f t="shared" si="28"/>
        <v>#VALUE!</v>
      </c>
      <c r="AI28" s="378" t="e">
        <f t="shared" si="13"/>
        <v>#VALUE!</v>
      </c>
      <c r="AJ28" s="375" t="e">
        <f t="shared" si="22"/>
        <v>#N/A</v>
      </c>
      <c r="AK28" s="375" t="e">
        <f>VLOOKUP(AJ28,'排出係数表'!$A$4:$C$202,2,FALSE)</f>
        <v>#N/A</v>
      </c>
      <c r="AL28" s="375" t="e">
        <f t="shared" si="14"/>
        <v>#N/A</v>
      </c>
      <c r="AM28" s="375" t="e">
        <f>VLOOKUP(AJ28,'排出係数表'!$A$4:$C$202,3,FALSE)</f>
        <v>#N/A</v>
      </c>
      <c r="AN28" s="375" t="e">
        <f t="shared" si="15"/>
        <v>#N/A</v>
      </c>
      <c r="AO28" s="375">
        <f t="shared" si="16"/>
      </c>
      <c r="AP28" s="379" t="str">
        <f t="shared" si="17"/>
        <v>-</v>
      </c>
      <c r="AQ28" s="375" t="e">
        <f t="shared" si="27"/>
        <v>#VALUE!</v>
      </c>
      <c r="AR28" s="375">
        <f t="shared" si="21"/>
      </c>
      <c r="AY28" s="384"/>
      <c r="AZ28" s="380" t="s">
        <v>951</v>
      </c>
      <c r="BA28" s="384"/>
      <c r="BB28" s="384"/>
    </row>
    <row r="29" spans="1:54" s="380" customFormat="1" ht="13.5" customHeight="1">
      <c r="A29" s="375" t="str">
        <f>IF(ISBLANK(F29)=TRUE," ",IF(ISBLANK('様式2'!$C$23)=TRUE," ",'様式2'!$C$23))</f>
        <v> </v>
      </c>
      <c r="B29" s="375" t="e">
        <f>LOOKUP(LOOKUP(C29,'様式3'!$A$5:$A$44,'様式3'!$C$5:$C$44),'産業分類表'!$D$2:$D$68,'産業分類表'!$E$2:$E$68)</f>
        <v>#N/A</v>
      </c>
      <c r="C29" s="343"/>
      <c r="D29" s="343"/>
      <c r="E29" s="343"/>
      <c r="F29" s="343"/>
      <c r="G29" s="341"/>
      <c r="H29" s="349"/>
      <c r="I29" s="343"/>
      <c r="J29" s="343"/>
      <c r="K29" s="342"/>
      <c r="L29" s="350"/>
      <c r="M29" s="351"/>
      <c r="N29" s="343"/>
      <c r="O29" s="354">
        <f t="shared" si="29"/>
      </c>
      <c r="P29" s="354">
        <f t="shared" si="30"/>
      </c>
      <c r="Q29" s="389"/>
      <c r="R29" s="376">
        <f t="shared" si="25"/>
      </c>
      <c r="S29" s="376">
        <f t="shared" si="26"/>
      </c>
      <c r="T29" s="352"/>
      <c r="U29" s="353"/>
      <c r="V29" s="352"/>
      <c r="W29" s="343"/>
      <c r="X29" s="388">
        <f t="shared" si="18"/>
      </c>
      <c r="Y29" s="375" t="e">
        <f t="shared" si="4"/>
        <v>#N/A</v>
      </c>
      <c r="Z29" s="375" t="e">
        <f t="shared" si="5"/>
        <v>#N/A</v>
      </c>
      <c r="AA29" s="375">
        <f t="shared" si="19"/>
      </c>
      <c r="AB29" s="377">
        <f t="shared" si="6"/>
        <v>1</v>
      </c>
      <c r="AC29" s="375" t="str">
        <f t="shared" si="7"/>
        <v> </v>
      </c>
      <c r="AD29" s="375" t="e">
        <f t="shared" si="8"/>
        <v>#N/A</v>
      </c>
      <c r="AE29" s="375" t="str">
        <f t="shared" si="9"/>
        <v> </v>
      </c>
      <c r="AF29" s="375" t="e">
        <f t="shared" si="10"/>
        <v>#N/A</v>
      </c>
      <c r="AG29" s="378" t="str">
        <f t="shared" si="11"/>
        <v> </v>
      </c>
      <c r="AH29" s="379" t="e">
        <f t="shared" si="28"/>
        <v>#VALUE!</v>
      </c>
      <c r="AI29" s="378" t="e">
        <f t="shared" si="13"/>
        <v>#VALUE!</v>
      </c>
      <c r="AJ29" s="375" t="e">
        <f t="shared" si="22"/>
        <v>#N/A</v>
      </c>
      <c r="AK29" s="375" t="e">
        <f>VLOOKUP(AJ29,'排出係数表'!$A$4:$C$202,2,FALSE)</f>
        <v>#N/A</v>
      </c>
      <c r="AL29" s="375" t="e">
        <f t="shared" si="14"/>
        <v>#N/A</v>
      </c>
      <c r="AM29" s="375" t="e">
        <f>VLOOKUP(AJ29,'排出係数表'!$A$4:$C$202,3,FALSE)</f>
        <v>#N/A</v>
      </c>
      <c r="AN29" s="375" t="e">
        <f t="shared" si="15"/>
        <v>#N/A</v>
      </c>
      <c r="AO29" s="375">
        <f t="shared" si="16"/>
      </c>
      <c r="AP29" s="379" t="str">
        <f t="shared" si="17"/>
        <v>-</v>
      </c>
      <c r="AQ29" s="375" t="e">
        <f t="shared" si="27"/>
        <v>#VALUE!</v>
      </c>
      <c r="AR29" s="375">
        <f t="shared" si="21"/>
      </c>
      <c r="AY29" s="384"/>
      <c r="AZ29" s="380" t="s">
        <v>952</v>
      </c>
      <c r="BA29" s="384"/>
      <c r="BB29" s="384"/>
    </row>
    <row r="30" spans="1:54" s="380" customFormat="1" ht="13.5" customHeight="1">
      <c r="A30" s="375" t="str">
        <f>IF(ISBLANK(F30)=TRUE," ",IF(ISBLANK('様式2'!$C$23)=TRUE," ",'様式2'!$C$23))</f>
        <v> </v>
      </c>
      <c r="B30" s="375" t="e">
        <f>LOOKUP(LOOKUP(C30,'様式3'!$A$5:$A$44,'様式3'!$C$5:$C$44),'産業分類表'!$D$2:$D$68,'産業分類表'!$E$2:$E$68)</f>
        <v>#N/A</v>
      </c>
      <c r="C30" s="343"/>
      <c r="D30" s="343"/>
      <c r="E30" s="343"/>
      <c r="F30" s="343"/>
      <c r="G30" s="341"/>
      <c r="H30" s="349"/>
      <c r="I30" s="343"/>
      <c r="J30" s="343"/>
      <c r="K30" s="342"/>
      <c r="L30" s="350"/>
      <c r="M30" s="351"/>
      <c r="N30" s="343"/>
      <c r="O30" s="354">
        <f t="shared" si="29"/>
      </c>
      <c r="P30" s="354">
        <f t="shared" si="30"/>
      </c>
      <c r="Q30" s="389"/>
      <c r="R30" s="376">
        <f t="shared" si="25"/>
      </c>
      <c r="S30" s="376">
        <f t="shared" si="26"/>
      </c>
      <c r="T30" s="352"/>
      <c r="U30" s="353"/>
      <c r="V30" s="352"/>
      <c r="W30" s="343"/>
      <c r="X30" s="388">
        <f t="shared" si="18"/>
      </c>
      <c r="Y30" s="375" t="e">
        <f t="shared" si="4"/>
        <v>#N/A</v>
      </c>
      <c r="Z30" s="375" t="e">
        <f t="shared" si="5"/>
        <v>#N/A</v>
      </c>
      <c r="AA30" s="375">
        <f t="shared" si="19"/>
      </c>
      <c r="AB30" s="377">
        <f t="shared" si="6"/>
        <v>1</v>
      </c>
      <c r="AC30" s="375" t="str">
        <f t="shared" si="7"/>
        <v> </v>
      </c>
      <c r="AD30" s="375" t="e">
        <f t="shared" si="8"/>
        <v>#N/A</v>
      </c>
      <c r="AE30" s="375" t="str">
        <f t="shared" si="9"/>
        <v> </v>
      </c>
      <c r="AF30" s="375" t="e">
        <f t="shared" si="10"/>
        <v>#N/A</v>
      </c>
      <c r="AG30" s="378" t="str">
        <f t="shared" si="11"/>
        <v> </v>
      </c>
      <c r="AH30" s="379" t="e">
        <f t="shared" si="28"/>
        <v>#VALUE!</v>
      </c>
      <c r="AI30" s="378" t="e">
        <f t="shared" si="13"/>
        <v>#VALUE!</v>
      </c>
      <c r="AJ30" s="375" t="e">
        <f t="shared" si="22"/>
        <v>#N/A</v>
      </c>
      <c r="AK30" s="375" t="e">
        <f>VLOOKUP(AJ30,'排出係数表'!$A$4:$C$202,2,FALSE)</f>
        <v>#N/A</v>
      </c>
      <c r="AL30" s="375" t="e">
        <f t="shared" si="14"/>
        <v>#N/A</v>
      </c>
      <c r="AM30" s="375" t="e">
        <f>VLOOKUP(AJ30,'排出係数表'!$A$4:$C$202,3,FALSE)</f>
        <v>#N/A</v>
      </c>
      <c r="AN30" s="375" t="e">
        <f t="shared" si="15"/>
        <v>#N/A</v>
      </c>
      <c r="AO30" s="375">
        <f t="shared" si="16"/>
      </c>
      <c r="AP30" s="379" t="str">
        <f t="shared" si="17"/>
        <v>-</v>
      </c>
      <c r="AQ30" s="375" t="e">
        <f t="shared" si="27"/>
        <v>#VALUE!</v>
      </c>
      <c r="AR30" s="375">
        <f t="shared" si="21"/>
      </c>
      <c r="AY30" s="384"/>
      <c r="AZ30" s="380" t="s">
        <v>953</v>
      </c>
      <c r="BA30" s="384"/>
      <c r="BB30" s="384"/>
    </row>
    <row r="31" spans="1:54" s="380" customFormat="1" ht="13.5" customHeight="1">
      <c r="A31" s="375" t="str">
        <f>IF(ISBLANK(F31)=TRUE," ",IF(ISBLANK('様式2'!$C$23)=TRUE," ",'様式2'!$C$23))</f>
        <v> </v>
      </c>
      <c r="B31" s="375" t="e">
        <f>LOOKUP(LOOKUP(C31,'様式3'!$A$5:$A$44,'様式3'!$C$5:$C$44),'産業分類表'!$D$2:$D$68,'産業分類表'!$E$2:$E$68)</f>
        <v>#N/A</v>
      </c>
      <c r="C31" s="343"/>
      <c r="D31" s="343"/>
      <c r="E31" s="343"/>
      <c r="F31" s="343"/>
      <c r="G31" s="341"/>
      <c r="H31" s="349"/>
      <c r="I31" s="343"/>
      <c r="J31" s="343"/>
      <c r="K31" s="342"/>
      <c r="L31" s="350"/>
      <c r="M31" s="351"/>
      <c r="N31" s="343"/>
      <c r="O31" s="354">
        <f t="shared" si="29"/>
      </c>
      <c r="P31" s="354">
        <f t="shared" si="30"/>
      </c>
      <c r="Q31" s="389"/>
      <c r="R31" s="376">
        <f t="shared" si="25"/>
      </c>
      <c r="S31" s="376">
        <f t="shared" si="26"/>
      </c>
      <c r="T31" s="352"/>
      <c r="U31" s="353"/>
      <c r="V31" s="352"/>
      <c r="W31" s="343"/>
      <c r="X31" s="388">
        <f t="shared" si="18"/>
      </c>
      <c r="Y31" s="375" t="e">
        <f t="shared" si="4"/>
        <v>#N/A</v>
      </c>
      <c r="Z31" s="375" t="e">
        <f t="shared" si="5"/>
        <v>#N/A</v>
      </c>
      <c r="AA31" s="375">
        <f t="shared" si="19"/>
      </c>
      <c r="AB31" s="377">
        <f t="shared" si="6"/>
        <v>1</v>
      </c>
      <c r="AC31" s="375" t="str">
        <f t="shared" si="7"/>
        <v> </v>
      </c>
      <c r="AD31" s="375" t="e">
        <f t="shared" si="8"/>
        <v>#N/A</v>
      </c>
      <c r="AE31" s="375" t="str">
        <f t="shared" si="9"/>
        <v> </v>
      </c>
      <c r="AF31" s="375" t="e">
        <f t="shared" si="10"/>
        <v>#N/A</v>
      </c>
      <c r="AG31" s="378" t="str">
        <f t="shared" si="11"/>
        <v> </v>
      </c>
      <c r="AH31" s="379" t="e">
        <f t="shared" si="28"/>
        <v>#VALUE!</v>
      </c>
      <c r="AI31" s="378" t="e">
        <f t="shared" si="13"/>
        <v>#VALUE!</v>
      </c>
      <c r="AJ31" s="375" t="e">
        <f t="shared" si="22"/>
        <v>#N/A</v>
      </c>
      <c r="AK31" s="375" t="e">
        <f>VLOOKUP(AJ31,'排出係数表'!$A$4:$C$202,2,FALSE)</f>
        <v>#N/A</v>
      </c>
      <c r="AL31" s="375" t="e">
        <f t="shared" si="14"/>
        <v>#N/A</v>
      </c>
      <c r="AM31" s="375" t="e">
        <f>VLOOKUP(AJ31,'排出係数表'!$A$4:$C$202,3,FALSE)</f>
        <v>#N/A</v>
      </c>
      <c r="AN31" s="375" t="e">
        <f t="shared" si="15"/>
        <v>#N/A</v>
      </c>
      <c r="AO31" s="375">
        <f t="shared" si="16"/>
      </c>
      <c r="AP31" s="379" t="str">
        <f t="shared" si="17"/>
        <v>-</v>
      </c>
      <c r="AQ31" s="375" t="e">
        <f t="shared" si="27"/>
        <v>#VALUE!</v>
      </c>
      <c r="AR31" s="375">
        <f t="shared" si="21"/>
      </c>
      <c r="AY31" s="384"/>
      <c r="AZ31" s="380" t="s">
        <v>954</v>
      </c>
      <c r="BA31" s="384"/>
      <c r="BB31" s="384"/>
    </row>
    <row r="32" spans="1:54" s="380" customFormat="1" ht="13.5" customHeight="1">
      <c r="A32" s="375" t="str">
        <f>IF(ISBLANK(F32)=TRUE," ",IF(ISBLANK('様式2'!$C$23)=TRUE," ",'様式2'!$C$23))</f>
        <v> </v>
      </c>
      <c r="B32" s="375" t="e">
        <f>LOOKUP(LOOKUP(C32,'様式3'!$A$5:$A$44,'様式3'!$C$5:$C$44),'産業分類表'!$D$2:$D$68,'産業分類表'!$E$2:$E$68)</f>
        <v>#N/A</v>
      </c>
      <c r="C32" s="343"/>
      <c r="D32" s="343"/>
      <c r="E32" s="343"/>
      <c r="F32" s="343"/>
      <c r="G32" s="341"/>
      <c r="H32" s="349"/>
      <c r="I32" s="343"/>
      <c r="J32" s="343"/>
      <c r="K32" s="342"/>
      <c r="L32" s="350"/>
      <c r="M32" s="351"/>
      <c r="N32" s="343"/>
      <c r="O32" s="354">
        <f t="shared" si="29"/>
      </c>
      <c r="P32" s="354">
        <f t="shared" si="30"/>
      </c>
      <c r="Q32" s="389"/>
      <c r="R32" s="376">
        <f t="shared" si="25"/>
      </c>
      <c r="S32" s="376">
        <f t="shared" si="26"/>
      </c>
      <c r="T32" s="352"/>
      <c r="U32" s="353"/>
      <c r="V32" s="352"/>
      <c r="W32" s="343"/>
      <c r="X32" s="388">
        <f t="shared" si="18"/>
      </c>
      <c r="Y32" s="375" t="e">
        <f t="shared" si="4"/>
        <v>#N/A</v>
      </c>
      <c r="Z32" s="375" t="e">
        <f t="shared" si="5"/>
        <v>#N/A</v>
      </c>
      <c r="AA32" s="375">
        <f t="shared" si="19"/>
      </c>
      <c r="AB32" s="377">
        <f t="shared" si="6"/>
        <v>1</v>
      </c>
      <c r="AC32" s="375" t="str">
        <f t="shared" si="7"/>
        <v> </v>
      </c>
      <c r="AD32" s="375" t="e">
        <f t="shared" si="8"/>
        <v>#N/A</v>
      </c>
      <c r="AE32" s="375" t="str">
        <f t="shared" si="9"/>
        <v> </v>
      </c>
      <c r="AF32" s="375" t="e">
        <f t="shared" si="10"/>
        <v>#N/A</v>
      </c>
      <c r="AG32" s="378" t="str">
        <f t="shared" si="11"/>
        <v> </v>
      </c>
      <c r="AH32" s="379" t="e">
        <f t="shared" si="28"/>
        <v>#VALUE!</v>
      </c>
      <c r="AI32" s="378" t="e">
        <f t="shared" si="13"/>
        <v>#VALUE!</v>
      </c>
      <c r="AJ32" s="375" t="e">
        <f t="shared" si="22"/>
        <v>#N/A</v>
      </c>
      <c r="AK32" s="375" t="e">
        <f>VLOOKUP(AJ32,'排出係数表'!$A$4:$C$202,2,FALSE)</f>
        <v>#N/A</v>
      </c>
      <c r="AL32" s="375" t="e">
        <f t="shared" si="14"/>
        <v>#N/A</v>
      </c>
      <c r="AM32" s="375" t="e">
        <f>VLOOKUP(AJ32,'排出係数表'!$A$4:$C$202,3,FALSE)</f>
        <v>#N/A</v>
      </c>
      <c r="AN32" s="375" t="e">
        <f t="shared" si="15"/>
        <v>#N/A</v>
      </c>
      <c r="AO32" s="375">
        <f t="shared" si="16"/>
      </c>
      <c r="AP32" s="379" t="str">
        <f t="shared" si="17"/>
        <v>-</v>
      </c>
      <c r="AQ32" s="375" t="e">
        <f t="shared" si="27"/>
        <v>#VALUE!</v>
      </c>
      <c r="AR32" s="375">
        <f t="shared" si="21"/>
      </c>
      <c r="AY32" s="384"/>
      <c r="AZ32" s="380" t="s">
        <v>955</v>
      </c>
      <c r="BA32" s="384"/>
      <c r="BB32" s="384"/>
    </row>
    <row r="33" spans="1:54" s="380" customFormat="1" ht="13.5" customHeight="1">
      <c r="A33" s="375" t="str">
        <f>IF(ISBLANK(F33)=TRUE," ",IF(ISBLANK('様式2'!$C$23)=TRUE," ",'様式2'!$C$23))</f>
        <v> </v>
      </c>
      <c r="B33" s="375" t="e">
        <f>LOOKUP(LOOKUP(C33,'様式3'!$A$5:$A$44,'様式3'!$C$5:$C$44),'産業分類表'!$D$2:$D$68,'産業分類表'!$E$2:$E$68)</f>
        <v>#N/A</v>
      </c>
      <c r="C33" s="343"/>
      <c r="D33" s="343"/>
      <c r="E33" s="343"/>
      <c r="F33" s="343"/>
      <c r="G33" s="341"/>
      <c r="H33" s="349"/>
      <c r="I33" s="343"/>
      <c r="J33" s="343"/>
      <c r="K33" s="342"/>
      <c r="L33" s="350"/>
      <c r="M33" s="351"/>
      <c r="N33" s="343"/>
      <c r="O33" s="354">
        <f t="shared" si="29"/>
      </c>
      <c r="P33" s="354">
        <f t="shared" si="30"/>
      </c>
      <c r="Q33" s="389"/>
      <c r="R33" s="376">
        <f t="shared" si="25"/>
      </c>
      <c r="S33" s="376">
        <f t="shared" si="26"/>
      </c>
      <c r="T33" s="352"/>
      <c r="U33" s="353"/>
      <c r="V33" s="352"/>
      <c r="W33" s="343"/>
      <c r="X33" s="388">
        <f t="shared" si="18"/>
      </c>
      <c r="Y33" s="375" t="e">
        <f t="shared" si="4"/>
        <v>#N/A</v>
      </c>
      <c r="Z33" s="375" t="e">
        <f t="shared" si="5"/>
        <v>#N/A</v>
      </c>
      <c r="AA33" s="375">
        <f t="shared" si="19"/>
      </c>
      <c r="AB33" s="377">
        <f t="shared" si="6"/>
        <v>1</v>
      </c>
      <c r="AC33" s="375" t="str">
        <f t="shared" si="7"/>
        <v> </v>
      </c>
      <c r="AD33" s="375" t="e">
        <f t="shared" si="8"/>
        <v>#N/A</v>
      </c>
      <c r="AE33" s="375" t="str">
        <f t="shared" si="9"/>
        <v> </v>
      </c>
      <c r="AF33" s="375" t="e">
        <f t="shared" si="10"/>
        <v>#N/A</v>
      </c>
      <c r="AG33" s="378" t="str">
        <f t="shared" si="11"/>
        <v> </v>
      </c>
      <c r="AH33" s="379" t="e">
        <f t="shared" si="28"/>
        <v>#VALUE!</v>
      </c>
      <c r="AI33" s="378" t="e">
        <f t="shared" si="13"/>
        <v>#VALUE!</v>
      </c>
      <c r="AJ33" s="375" t="e">
        <f t="shared" si="22"/>
        <v>#N/A</v>
      </c>
      <c r="AK33" s="375" t="e">
        <f>VLOOKUP(AJ33,'排出係数表'!$A$4:$C$202,2,FALSE)</f>
        <v>#N/A</v>
      </c>
      <c r="AL33" s="375" t="e">
        <f t="shared" si="14"/>
        <v>#N/A</v>
      </c>
      <c r="AM33" s="375" t="e">
        <f>VLOOKUP(AJ33,'排出係数表'!$A$4:$C$202,3,FALSE)</f>
        <v>#N/A</v>
      </c>
      <c r="AN33" s="375" t="e">
        <f t="shared" si="15"/>
        <v>#N/A</v>
      </c>
      <c r="AO33" s="375">
        <f t="shared" si="16"/>
      </c>
      <c r="AP33" s="379" t="str">
        <f t="shared" si="17"/>
        <v>-</v>
      </c>
      <c r="AQ33" s="375" t="e">
        <f t="shared" si="27"/>
        <v>#VALUE!</v>
      </c>
      <c r="AR33" s="375">
        <f t="shared" si="21"/>
      </c>
      <c r="AY33" s="384"/>
      <c r="AZ33" s="380" t="s">
        <v>956</v>
      </c>
      <c r="BA33" s="384"/>
      <c r="BB33" s="384"/>
    </row>
    <row r="34" spans="1:54" s="380" customFormat="1" ht="13.5" customHeight="1">
      <c r="A34" s="375" t="str">
        <f>IF(ISBLANK(F34)=TRUE," ",IF(ISBLANK('様式2'!$C$23)=TRUE," ",'様式2'!$C$23))</f>
        <v> </v>
      </c>
      <c r="B34" s="375" t="e">
        <f>LOOKUP(LOOKUP(C34,'様式3'!$A$5:$A$44,'様式3'!$C$5:$C$44),'産業分類表'!$D$2:$D$68,'産業分類表'!$E$2:$E$68)</f>
        <v>#N/A</v>
      </c>
      <c r="C34" s="343"/>
      <c r="D34" s="343"/>
      <c r="E34" s="343"/>
      <c r="F34" s="343"/>
      <c r="G34" s="341"/>
      <c r="H34" s="349"/>
      <c r="I34" s="343"/>
      <c r="J34" s="343"/>
      <c r="K34" s="342"/>
      <c r="L34" s="350"/>
      <c r="M34" s="351"/>
      <c r="N34" s="343"/>
      <c r="O34" s="354">
        <f t="shared" si="29"/>
      </c>
      <c r="P34" s="354">
        <f t="shared" si="30"/>
      </c>
      <c r="Q34" s="389"/>
      <c r="R34" s="376">
        <f t="shared" si="25"/>
      </c>
      <c r="S34" s="376">
        <f t="shared" si="26"/>
      </c>
      <c r="T34" s="352"/>
      <c r="U34" s="353"/>
      <c r="V34" s="352"/>
      <c r="W34" s="343"/>
      <c r="X34" s="388">
        <f t="shared" si="18"/>
      </c>
      <c r="Y34" s="375" t="e">
        <f t="shared" si="4"/>
        <v>#N/A</v>
      </c>
      <c r="Z34" s="375" t="e">
        <f t="shared" si="5"/>
        <v>#N/A</v>
      </c>
      <c r="AA34" s="375">
        <f t="shared" si="19"/>
      </c>
      <c r="AB34" s="377">
        <f t="shared" si="6"/>
        <v>1</v>
      </c>
      <c r="AC34" s="375" t="str">
        <f t="shared" si="7"/>
        <v> </v>
      </c>
      <c r="AD34" s="375" t="e">
        <f t="shared" si="8"/>
        <v>#N/A</v>
      </c>
      <c r="AE34" s="375" t="str">
        <f t="shared" si="9"/>
        <v> </v>
      </c>
      <c r="AF34" s="375" t="e">
        <f t="shared" si="10"/>
        <v>#N/A</v>
      </c>
      <c r="AG34" s="378" t="str">
        <f t="shared" si="11"/>
        <v> </v>
      </c>
      <c r="AH34" s="379" t="e">
        <f t="shared" si="28"/>
        <v>#VALUE!</v>
      </c>
      <c r="AI34" s="378" t="e">
        <f t="shared" si="13"/>
        <v>#VALUE!</v>
      </c>
      <c r="AJ34" s="375" t="e">
        <f t="shared" si="22"/>
        <v>#N/A</v>
      </c>
      <c r="AK34" s="375" t="e">
        <f>VLOOKUP(AJ34,'排出係数表'!$A$4:$C$202,2,FALSE)</f>
        <v>#N/A</v>
      </c>
      <c r="AL34" s="375" t="e">
        <f t="shared" si="14"/>
        <v>#N/A</v>
      </c>
      <c r="AM34" s="375" t="e">
        <f>VLOOKUP(AJ34,'排出係数表'!$A$4:$C$202,3,FALSE)</f>
        <v>#N/A</v>
      </c>
      <c r="AN34" s="375" t="e">
        <f t="shared" si="15"/>
        <v>#N/A</v>
      </c>
      <c r="AO34" s="375">
        <f t="shared" si="16"/>
      </c>
      <c r="AP34" s="379" t="str">
        <f t="shared" si="17"/>
        <v>-</v>
      </c>
      <c r="AQ34" s="375" t="e">
        <f t="shared" si="27"/>
        <v>#VALUE!</v>
      </c>
      <c r="AR34" s="375">
        <f t="shared" si="21"/>
      </c>
      <c r="AY34" s="384"/>
      <c r="AZ34" s="380" t="s">
        <v>957</v>
      </c>
      <c r="BA34" s="384"/>
      <c r="BB34" s="384"/>
    </row>
    <row r="35" spans="1:54" s="380" customFormat="1" ht="13.5" customHeight="1">
      <c r="A35" s="375" t="str">
        <f>IF(ISBLANK(F35)=TRUE," ",IF(ISBLANK('様式2'!$C$23)=TRUE," ",'様式2'!$C$23))</f>
        <v> </v>
      </c>
      <c r="B35" s="375" t="e">
        <f>LOOKUP(LOOKUP(C35,'様式3'!$A$5:$A$44,'様式3'!$C$5:$C$44),'産業分類表'!$D$2:$D$68,'産業分類表'!$E$2:$E$68)</f>
        <v>#N/A</v>
      </c>
      <c r="C35" s="343"/>
      <c r="D35" s="343"/>
      <c r="E35" s="343"/>
      <c r="F35" s="343"/>
      <c r="G35" s="341"/>
      <c r="H35" s="349"/>
      <c r="I35" s="343"/>
      <c r="J35" s="343"/>
      <c r="K35" s="342"/>
      <c r="L35" s="350"/>
      <c r="M35" s="351"/>
      <c r="N35" s="343"/>
      <c r="O35" s="354">
        <f t="shared" si="29"/>
      </c>
      <c r="P35" s="354">
        <f t="shared" si="30"/>
      </c>
      <c r="Q35" s="389"/>
      <c r="R35" s="376">
        <f t="shared" si="25"/>
      </c>
      <c r="S35" s="376">
        <f t="shared" si="26"/>
      </c>
      <c r="T35" s="352"/>
      <c r="U35" s="353"/>
      <c r="V35" s="352"/>
      <c r="W35" s="343"/>
      <c r="X35" s="388">
        <f t="shared" si="18"/>
      </c>
      <c r="Y35" s="375" t="e">
        <f t="shared" si="4"/>
        <v>#N/A</v>
      </c>
      <c r="Z35" s="375" t="e">
        <f t="shared" si="5"/>
        <v>#N/A</v>
      </c>
      <c r="AA35" s="375">
        <f t="shared" si="19"/>
      </c>
      <c r="AB35" s="377">
        <f>IF(I35&gt;3500,I35/1000,1)</f>
        <v>1</v>
      </c>
      <c r="AC35" s="375" t="str">
        <f>IF(ISBLANK(F35)=TRUE," ",IF(LEFT(F35,1)="4",0,IF(I35&lt;=1700,1,IF(I35&lt;=2500,2,IF(I35&lt;=3500,3,4)))))</f>
        <v> </v>
      </c>
      <c r="AD35" s="375" t="e">
        <f>IF(Z35="乗",0,IF(LEFT(F35,1)="4",0,IF(I35&lt;=1700,1,IF(I35&lt;=2500,2,IF(I35&lt;=3500,3,4)))))</f>
        <v>#N/A</v>
      </c>
      <c r="AE35" s="375" t="str">
        <f>IF(ISBLANK(J35)=TRUE," ",IF(LEFT(F35,1)="1",IF(I35&lt;=3500,1,IF(I35&lt;=5000,2,3)),IF(LEFT(F35,1)="6",IF(I35&lt;=3500,1,IF(I35&lt;=5000,2,3)),"")))</f>
        <v> </v>
      </c>
      <c r="AF35" s="375" t="e">
        <f t="shared" si="10"/>
        <v>#N/A</v>
      </c>
      <c r="AG35" s="378" t="str">
        <f>IF(ISBLANK(J35)=TRUE," ",CONCATENATE(C35,LEFT(F35,1),AC35))</f>
        <v> </v>
      </c>
      <c r="AH35" s="379" t="e">
        <f>VALUE(LEFT(J35,2))</f>
        <v>#VALUE!</v>
      </c>
      <c r="AI35" s="378" t="e">
        <f>CONCATENATE(AH35,Z35,AE35)</f>
        <v>#VALUE!</v>
      </c>
      <c r="AJ35" s="375" t="e">
        <f>IF(AF35="電","電",CONCATENATE(Y35,AD35,AF35,AA35))</f>
        <v>#N/A</v>
      </c>
      <c r="AK35" s="375" t="e">
        <f>VLOOKUP(AJ35,'排出係数表'!$A$4:$C$202,2,FALSE)</f>
        <v>#N/A</v>
      </c>
      <c r="AL35" s="375" t="e">
        <f t="shared" si="14"/>
        <v>#N/A</v>
      </c>
      <c r="AM35" s="375" t="e">
        <f>VLOOKUP(AJ35,'排出係数表'!$A$4:$C$202,3,FALSE)</f>
        <v>#N/A</v>
      </c>
      <c r="AN35" s="375" t="e">
        <f t="shared" si="15"/>
        <v>#N/A</v>
      </c>
      <c r="AO35" s="375">
        <f>IF(ISBLANK(T35)=TRUE,"",CONCATENATE(AI35,LEFT(U35,4)))</f>
      </c>
      <c r="AP35" s="379" t="str">
        <f>IF(ISBLANK(T35)=TRUE,"-",LEFT(U35,4)-LEFT(K35,4))</f>
        <v>-</v>
      </c>
      <c r="AQ35" s="375" t="e">
        <f t="shared" si="27"/>
        <v>#VALUE!</v>
      </c>
      <c r="AR35" s="375">
        <f t="shared" si="21"/>
      </c>
      <c r="AY35" s="384"/>
      <c r="AZ35" s="380" t="s">
        <v>958</v>
      </c>
      <c r="BA35" s="384"/>
      <c r="BB35" s="384"/>
    </row>
    <row r="36" spans="1:54" s="380" customFormat="1" ht="13.5" customHeight="1">
      <c r="A36" s="375" t="str">
        <f>IF(ISBLANK(F36)=TRUE," ",IF(ISBLANK('様式2'!$C$23)=TRUE," ",'様式2'!$C$23))</f>
        <v> </v>
      </c>
      <c r="B36" s="375" t="e">
        <f>LOOKUP(LOOKUP(C36,'様式3'!$A$5:$A$44,'様式3'!$C$5:$C$44),'産業分類表'!$D$2:$D$68,'産業分類表'!$E$2:$E$68)</f>
        <v>#N/A</v>
      </c>
      <c r="C36" s="343"/>
      <c r="D36" s="343"/>
      <c r="E36" s="343"/>
      <c r="F36" s="343"/>
      <c r="G36" s="341"/>
      <c r="H36" s="349"/>
      <c r="I36" s="343"/>
      <c r="J36" s="343"/>
      <c r="K36" s="342"/>
      <c r="L36" s="350"/>
      <c r="M36" s="351"/>
      <c r="N36" s="343"/>
      <c r="O36" s="354">
        <f t="shared" si="29"/>
      </c>
      <c r="P36" s="354">
        <f t="shared" si="30"/>
      </c>
      <c r="Q36" s="389"/>
      <c r="R36" s="376">
        <f t="shared" si="25"/>
      </c>
      <c r="S36" s="376">
        <f t="shared" si="26"/>
      </c>
      <c r="T36" s="352"/>
      <c r="U36" s="353"/>
      <c r="V36" s="352"/>
      <c r="W36" s="343"/>
      <c r="X36" s="388">
        <f t="shared" si="18"/>
      </c>
      <c r="Y36" s="375" t="e">
        <f t="shared" si="4"/>
        <v>#N/A</v>
      </c>
      <c r="Z36" s="375" t="e">
        <f t="shared" si="5"/>
        <v>#N/A</v>
      </c>
      <c r="AA36" s="375">
        <f t="shared" si="19"/>
      </c>
      <c r="AB36" s="377">
        <f>IF(I36&gt;3500,I36/1000,1)</f>
        <v>1</v>
      </c>
      <c r="AC36" s="375" t="str">
        <f>IF(ISBLANK(F36)=TRUE," ",IF(LEFT(F36,1)="4",0,IF(I36&lt;=1700,1,IF(I36&lt;=2500,2,IF(I36&lt;=3500,3,4)))))</f>
        <v> </v>
      </c>
      <c r="AD36" s="375" t="e">
        <f>IF(Z36="乗",0,IF(LEFT(F36,1)="4",0,IF(I36&lt;=1700,1,IF(I36&lt;=2500,2,IF(I36&lt;=3500,3,4)))))</f>
        <v>#N/A</v>
      </c>
      <c r="AE36" s="375" t="str">
        <f>IF(ISBLANK(J36)=TRUE," ",IF(LEFT(F36,1)="1",IF(I36&lt;=3500,1,IF(I36&lt;=5000,2,3)),IF(LEFT(F36,1)="6",IF(I36&lt;=3500,1,IF(I36&lt;=5000,2,3)),"")))</f>
        <v> </v>
      </c>
      <c r="AF36" s="375" t="e">
        <f t="shared" si="10"/>
        <v>#N/A</v>
      </c>
      <c r="AG36" s="378" t="str">
        <f>IF(ISBLANK(J36)=TRUE," ",CONCATENATE(C36,LEFT(F36,1),AC36))</f>
        <v> </v>
      </c>
      <c r="AH36" s="379" t="e">
        <f>VALUE(LEFT(J36,2))</f>
        <v>#VALUE!</v>
      </c>
      <c r="AI36" s="378" t="e">
        <f>CONCATENATE(AH36,Z36,AE36)</f>
        <v>#VALUE!</v>
      </c>
      <c r="AJ36" s="375" t="e">
        <f>IF(AF36="電","電",CONCATENATE(Y36,AD36,AF36,AA36))</f>
        <v>#N/A</v>
      </c>
      <c r="AK36" s="375" t="e">
        <f>VLOOKUP(AJ36,'排出係数表'!$A$4:$C$202,2,FALSE)</f>
        <v>#N/A</v>
      </c>
      <c r="AL36" s="375" t="e">
        <f t="shared" si="14"/>
        <v>#N/A</v>
      </c>
      <c r="AM36" s="375" t="e">
        <f>VLOOKUP(AJ36,'排出係数表'!$A$4:$C$202,3,FALSE)</f>
        <v>#N/A</v>
      </c>
      <c r="AN36" s="375" t="e">
        <f t="shared" si="15"/>
        <v>#N/A</v>
      </c>
      <c r="AO36" s="375">
        <f>IF(ISBLANK(T36)=TRUE,"",CONCATENATE(AI36,LEFT(U36,4)))</f>
      </c>
      <c r="AP36" s="379" t="str">
        <f>IF(ISBLANK(T36)=TRUE,"-",LEFT(U36,4)-LEFT(K36,4))</f>
        <v>-</v>
      </c>
      <c r="AQ36" s="375" t="e">
        <f t="shared" si="27"/>
        <v>#VALUE!</v>
      </c>
      <c r="AR36" s="375">
        <f t="shared" si="21"/>
      </c>
      <c r="AY36" s="384"/>
      <c r="AZ36" s="384"/>
      <c r="BA36" s="384"/>
      <c r="BB36" s="384"/>
    </row>
    <row r="37" spans="1:44" s="380" customFormat="1" ht="13.5" customHeight="1">
      <c r="A37" s="375" t="str">
        <f>IF(ISBLANK(F37)=TRUE," ",IF(ISBLANK('様式2'!$C$23)=TRUE," ",'様式2'!$C$23))</f>
        <v> </v>
      </c>
      <c r="B37" s="375" t="e">
        <f>LOOKUP(LOOKUP(C37,'様式3'!$A$5:$A$44,'様式3'!$C$5:$C$44),'産業分類表'!$D$2:$D$68,'産業分類表'!$E$2:$E$68)</f>
        <v>#N/A</v>
      </c>
      <c r="C37" s="343"/>
      <c r="D37" s="343"/>
      <c r="E37" s="343"/>
      <c r="F37" s="343"/>
      <c r="G37" s="341"/>
      <c r="H37" s="349"/>
      <c r="I37" s="343"/>
      <c r="J37" s="343"/>
      <c r="K37" s="342"/>
      <c r="L37" s="350"/>
      <c r="M37" s="351"/>
      <c r="N37" s="343"/>
      <c r="O37" s="354">
        <f t="shared" si="29"/>
      </c>
      <c r="P37" s="354">
        <f t="shared" si="30"/>
      </c>
      <c r="Q37" s="389"/>
      <c r="R37" s="376">
        <f t="shared" si="25"/>
      </c>
      <c r="S37" s="376">
        <f t="shared" si="26"/>
      </c>
      <c r="T37" s="352"/>
      <c r="U37" s="353"/>
      <c r="V37" s="352"/>
      <c r="W37" s="343"/>
      <c r="X37" s="388">
        <f t="shared" si="18"/>
      </c>
      <c r="Y37" s="375" t="e">
        <f t="shared" si="4"/>
        <v>#N/A</v>
      </c>
      <c r="Z37" s="375" t="e">
        <f t="shared" si="5"/>
        <v>#N/A</v>
      </c>
      <c r="AA37" s="375">
        <f t="shared" si="19"/>
      </c>
      <c r="AB37" s="377">
        <f t="shared" si="6"/>
        <v>1</v>
      </c>
      <c r="AC37" s="375" t="str">
        <f t="shared" si="7"/>
        <v> </v>
      </c>
      <c r="AD37" s="375" t="e">
        <f t="shared" si="8"/>
        <v>#N/A</v>
      </c>
      <c r="AE37" s="375" t="str">
        <f t="shared" si="9"/>
        <v> </v>
      </c>
      <c r="AF37" s="375" t="e">
        <f t="shared" si="10"/>
        <v>#N/A</v>
      </c>
      <c r="AG37" s="378" t="str">
        <f t="shared" si="11"/>
        <v> </v>
      </c>
      <c r="AH37" s="379" t="e">
        <f t="shared" si="28"/>
        <v>#VALUE!</v>
      </c>
      <c r="AI37" s="378" t="e">
        <f t="shared" si="13"/>
        <v>#VALUE!</v>
      </c>
      <c r="AJ37" s="375" t="e">
        <f t="shared" si="22"/>
        <v>#N/A</v>
      </c>
      <c r="AK37" s="375" t="e">
        <f>VLOOKUP(AJ37,'排出係数表'!$A$4:$C$202,2,FALSE)</f>
        <v>#N/A</v>
      </c>
      <c r="AL37" s="375" t="e">
        <f t="shared" si="14"/>
        <v>#N/A</v>
      </c>
      <c r="AM37" s="375" t="e">
        <f>VLOOKUP(AJ37,'排出係数表'!$A$4:$C$202,3,FALSE)</f>
        <v>#N/A</v>
      </c>
      <c r="AN37" s="375" t="e">
        <f t="shared" si="15"/>
        <v>#N/A</v>
      </c>
      <c r="AO37" s="375">
        <f t="shared" si="16"/>
      </c>
      <c r="AP37" s="379" t="str">
        <f t="shared" si="17"/>
        <v>-</v>
      </c>
      <c r="AQ37" s="375" t="e">
        <f t="shared" si="27"/>
        <v>#VALUE!</v>
      </c>
      <c r="AR37" s="375">
        <f t="shared" si="21"/>
      </c>
    </row>
    <row r="38" spans="1:44" s="380" customFormat="1" ht="13.5" customHeight="1">
      <c r="A38" s="375" t="str">
        <f>IF(ISBLANK(F38)=TRUE," ",IF(ISBLANK('様式2'!$C$23)=TRUE," ",'様式2'!$C$23))</f>
        <v> </v>
      </c>
      <c r="B38" s="375" t="e">
        <f>LOOKUP(LOOKUP(C38,'様式3'!$A$5:$A$44,'様式3'!$C$5:$C$44),'産業分類表'!$D$2:$D$68,'産業分類表'!$E$2:$E$68)</f>
        <v>#N/A</v>
      </c>
      <c r="C38" s="343"/>
      <c r="D38" s="343"/>
      <c r="E38" s="343"/>
      <c r="F38" s="343"/>
      <c r="G38" s="341"/>
      <c r="H38" s="349"/>
      <c r="I38" s="343"/>
      <c r="J38" s="343"/>
      <c r="K38" s="342"/>
      <c r="L38" s="350"/>
      <c r="M38" s="351"/>
      <c r="N38" s="343"/>
      <c r="O38" s="354">
        <f t="shared" si="29"/>
      </c>
      <c r="P38" s="354">
        <f t="shared" si="30"/>
      </c>
      <c r="Q38" s="389"/>
      <c r="R38" s="376">
        <f t="shared" si="25"/>
      </c>
      <c r="S38" s="376">
        <f t="shared" si="26"/>
      </c>
      <c r="T38" s="352"/>
      <c r="U38" s="353"/>
      <c r="V38" s="352"/>
      <c r="W38" s="343"/>
      <c r="X38" s="388">
        <f t="shared" si="18"/>
      </c>
      <c r="Y38" s="375" t="e">
        <f t="shared" si="4"/>
        <v>#N/A</v>
      </c>
      <c r="Z38" s="375" t="e">
        <f t="shared" si="5"/>
        <v>#N/A</v>
      </c>
      <c r="AA38" s="375">
        <f t="shared" si="19"/>
      </c>
      <c r="AB38" s="377">
        <f t="shared" si="6"/>
        <v>1</v>
      </c>
      <c r="AC38" s="375" t="str">
        <f t="shared" si="7"/>
        <v> </v>
      </c>
      <c r="AD38" s="375" t="e">
        <f t="shared" si="8"/>
        <v>#N/A</v>
      </c>
      <c r="AE38" s="375" t="str">
        <f t="shared" si="9"/>
        <v> </v>
      </c>
      <c r="AF38" s="375" t="e">
        <f t="shared" si="10"/>
        <v>#N/A</v>
      </c>
      <c r="AG38" s="378" t="str">
        <f t="shared" si="11"/>
        <v> </v>
      </c>
      <c r="AH38" s="379" t="e">
        <f t="shared" si="28"/>
        <v>#VALUE!</v>
      </c>
      <c r="AI38" s="378" t="e">
        <f t="shared" si="13"/>
        <v>#VALUE!</v>
      </c>
      <c r="AJ38" s="375" t="e">
        <f t="shared" si="22"/>
        <v>#N/A</v>
      </c>
      <c r="AK38" s="375" t="e">
        <f>VLOOKUP(AJ38,'排出係数表'!$A$4:$C$202,2,FALSE)</f>
        <v>#N/A</v>
      </c>
      <c r="AL38" s="375" t="e">
        <f t="shared" si="14"/>
        <v>#N/A</v>
      </c>
      <c r="AM38" s="375" t="e">
        <f>VLOOKUP(AJ38,'排出係数表'!$A$4:$C$202,3,FALSE)</f>
        <v>#N/A</v>
      </c>
      <c r="AN38" s="375" t="e">
        <f t="shared" si="15"/>
        <v>#N/A</v>
      </c>
      <c r="AO38" s="375">
        <f t="shared" si="16"/>
      </c>
      <c r="AP38" s="379" t="str">
        <f t="shared" si="17"/>
        <v>-</v>
      </c>
      <c r="AQ38" s="375" t="e">
        <f t="shared" si="27"/>
        <v>#VALUE!</v>
      </c>
      <c r="AR38" s="375">
        <f t="shared" si="21"/>
      </c>
    </row>
    <row r="39" spans="1:44" s="380" customFormat="1" ht="13.5" customHeight="1">
      <c r="A39" s="375" t="str">
        <f>IF(ISBLANK(F39)=TRUE," ",IF(ISBLANK('様式2'!$C$23)=TRUE," ",'様式2'!$C$23))</f>
        <v> </v>
      </c>
      <c r="B39" s="375" t="e">
        <f>LOOKUP(LOOKUP(C39,'様式3'!$A$5:$A$44,'様式3'!$C$5:$C$44),'産業分類表'!$D$2:$D$68,'産業分類表'!$E$2:$E$68)</f>
        <v>#N/A</v>
      </c>
      <c r="C39" s="343"/>
      <c r="D39" s="343"/>
      <c r="E39" s="343"/>
      <c r="F39" s="343"/>
      <c r="G39" s="341"/>
      <c r="H39" s="349"/>
      <c r="I39" s="343"/>
      <c r="J39" s="343"/>
      <c r="K39" s="342"/>
      <c r="L39" s="350"/>
      <c r="M39" s="351"/>
      <c r="N39" s="343"/>
      <c r="O39" s="354">
        <f t="shared" si="29"/>
      </c>
      <c r="P39" s="354">
        <f t="shared" si="30"/>
      </c>
      <c r="Q39" s="389"/>
      <c r="R39" s="376">
        <f t="shared" si="25"/>
      </c>
      <c r="S39" s="376">
        <f t="shared" si="26"/>
      </c>
      <c r="T39" s="352"/>
      <c r="U39" s="353"/>
      <c r="V39" s="352"/>
      <c r="W39" s="343"/>
      <c r="X39" s="388">
        <f t="shared" si="18"/>
      </c>
      <c r="Y39" s="375" t="e">
        <f t="shared" si="4"/>
        <v>#N/A</v>
      </c>
      <c r="Z39" s="375" t="e">
        <f t="shared" si="5"/>
        <v>#N/A</v>
      </c>
      <c r="AA39" s="375">
        <f t="shared" si="19"/>
      </c>
      <c r="AB39" s="377">
        <f t="shared" si="6"/>
        <v>1</v>
      </c>
      <c r="AC39" s="375" t="str">
        <f t="shared" si="7"/>
        <v> </v>
      </c>
      <c r="AD39" s="375" t="e">
        <f t="shared" si="8"/>
        <v>#N/A</v>
      </c>
      <c r="AE39" s="375" t="str">
        <f t="shared" si="9"/>
        <v> </v>
      </c>
      <c r="AF39" s="375" t="e">
        <f t="shared" si="10"/>
        <v>#N/A</v>
      </c>
      <c r="AG39" s="378" t="str">
        <f t="shared" si="11"/>
        <v> </v>
      </c>
      <c r="AH39" s="379" t="e">
        <f t="shared" si="28"/>
        <v>#VALUE!</v>
      </c>
      <c r="AI39" s="378" t="e">
        <f t="shared" si="13"/>
        <v>#VALUE!</v>
      </c>
      <c r="AJ39" s="375" t="e">
        <f t="shared" si="22"/>
        <v>#N/A</v>
      </c>
      <c r="AK39" s="375" t="e">
        <f>VLOOKUP(AJ39,'排出係数表'!$A$4:$C$202,2,FALSE)</f>
        <v>#N/A</v>
      </c>
      <c r="AL39" s="375" t="e">
        <f t="shared" si="14"/>
        <v>#N/A</v>
      </c>
      <c r="AM39" s="375" t="e">
        <f>VLOOKUP(AJ39,'排出係数表'!$A$4:$C$202,3,FALSE)</f>
        <v>#N/A</v>
      </c>
      <c r="AN39" s="375" t="e">
        <f t="shared" si="15"/>
        <v>#N/A</v>
      </c>
      <c r="AO39" s="375">
        <f t="shared" si="16"/>
      </c>
      <c r="AP39" s="379" t="str">
        <f t="shared" si="17"/>
        <v>-</v>
      </c>
      <c r="AQ39" s="375" t="e">
        <f t="shared" si="27"/>
        <v>#VALUE!</v>
      </c>
      <c r="AR39" s="375">
        <f t="shared" si="21"/>
      </c>
    </row>
    <row r="40" spans="1:44" s="380" customFormat="1" ht="13.5" customHeight="1">
      <c r="A40" s="375" t="str">
        <f>IF(ISBLANK(F40)=TRUE," ",IF(ISBLANK('様式2'!$C$23)=TRUE," ",'様式2'!$C$23))</f>
        <v> </v>
      </c>
      <c r="B40" s="375" t="e">
        <f>LOOKUP(LOOKUP(C40,'様式3'!$A$5:$A$44,'様式3'!$C$5:$C$44),'産業分類表'!$D$2:$D$68,'産業分類表'!$E$2:$E$68)</f>
        <v>#N/A</v>
      </c>
      <c r="C40" s="343"/>
      <c r="D40" s="343"/>
      <c r="E40" s="343"/>
      <c r="F40" s="343"/>
      <c r="G40" s="341"/>
      <c r="H40" s="349"/>
      <c r="I40" s="343"/>
      <c r="J40" s="343"/>
      <c r="K40" s="342"/>
      <c r="L40" s="350"/>
      <c r="M40" s="351"/>
      <c r="N40" s="343"/>
      <c r="O40" s="354">
        <f t="shared" si="29"/>
      </c>
      <c r="P40" s="354">
        <f t="shared" si="30"/>
      </c>
      <c r="Q40" s="389"/>
      <c r="R40" s="376">
        <f t="shared" si="25"/>
      </c>
      <c r="S40" s="376">
        <f t="shared" si="26"/>
      </c>
      <c r="T40" s="352"/>
      <c r="U40" s="353"/>
      <c r="V40" s="352"/>
      <c r="W40" s="343"/>
      <c r="X40" s="388">
        <f t="shared" si="18"/>
      </c>
      <c r="Y40" s="375" t="e">
        <f t="shared" si="4"/>
        <v>#N/A</v>
      </c>
      <c r="Z40" s="375" t="e">
        <f t="shared" si="5"/>
        <v>#N/A</v>
      </c>
      <c r="AA40" s="375">
        <f t="shared" si="19"/>
      </c>
      <c r="AB40" s="377">
        <f t="shared" si="6"/>
        <v>1</v>
      </c>
      <c r="AC40" s="375" t="str">
        <f t="shared" si="7"/>
        <v> </v>
      </c>
      <c r="AD40" s="375" t="e">
        <f t="shared" si="8"/>
        <v>#N/A</v>
      </c>
      <c r="AE40" s="375" t="str">
        <f t="shared" si="9"/>
        <v> </v>
      </c>
      <c r="AF40" s="375" t="e">
        <f t="shared" si="10"/>
        <v>#N/A</v>
      </c>
      <c r="AG40" s="378" t="str">
        <f t="shared" si="11"/>
        <v> </v>
      </c>
      <c r="AH40" s="379" t="e">
        <f t="shared" si="28"/>
        <v>#VALUE!</v>
      </c>
      <c r="AI40" s="378" t="e">
        <f t="shared" si="13"/>
        <v>#VALUE!</v>
      </c>
      <c r="AJ40" s="375" t="e">
        <f t="shared" si="22"/>
        <v>#N/A</v>
      </c>
      <c r="AK40" s="375" t="e">
        <f>VLOOKUP(AJ40,'排出係数表'!$A$4:$C$202,2,FALSE)</f>
        <v>#N/A</v>
      </c>
      <c r="AL40" s="375" t="e">
        <f t="shared" si="14"/>
        <v>#N/A</v>
      </c>
      <c r="AM40" s="375" t="e">
        <f>VLOOKUP(AJ40,'排出係数表'!$A$4:$C$202,3,FALSE)</f>
        <v>#N/A</v>
      </c>
      <c r="AN40" s="375" t="e">
        <f t="shared" si="15"/>
        <v>#N/A</v>
      </c>
      <c r="AO40" s="375">
        <f t="shared" si="16"/>
      </c>
      <c r="AP40" s="379" t="str">
        <f t="shared" si="17"/>
        <v>-</v>
      </c>
      <c r="AQ40" s="375" t="e">
        <f t="shared" si="27"/>
        <v>#VALUE!</v>
      </c>
      <c r="AR40" s="375">
        <f t="shared" si="21"/>
      </c>
    </row>
    <row r="41" spans="1:44" s="380" customFormat="1" ht="13.5" customHeight="1">
      <c r="A41" s="375" t="str">
        <f>IF(ISBLANK(F41)=TRUE," ",IF(ISBLANK('様式2'!$C$23)=TRUE," ",'様式2'!$C$23))</f>
        <v> </v>
      </c>
      <c r="B41" s="375" t="e">
        <f>LOOKUP(LOOKUP(C41,'様式3'!$A$5:$A$44,'様式3'!$C$5:$C$44),'産業分類表'!$D$2:$D$68,'産業分類表'!$E$2:$E$68)</f>
        <v>#N/A</v>
      </c>
      <c r="C41" s="343"/>
      <c r="D41" s="343"/>
      <c r="E41" s="343"/>
      <c r="F41" s="343"/>
      <c r="G41" s="341"/>
      <c r="H41" s="349"/>
      <c r="I41" s="343"/>
      <c r="J41" s="343"/>
      <c r="K41" s="342"/>
      <c r="L41" s="350"/>
      <c r="M41" s="351"/>
      <c r="N41" s="343"/>
      <c r="O41" s="354">
        <f t="shared" si="29"/>
      </c>
      <c r="P41" s="354">
        <f t="shared" si="30"/>
      </c>
      <c r="Q41" s="389"/>
      <c r="R41" s="376">
        <f t="shared" si="25"/>
      </c>
      <c r="S41" s="376">
        <f t="shared" si="26"/>
      </c>
      <c r="T41" s="352"/>
      <c r="U41" s="353"/>
      <c r="V41" s="352"/>
      <c r="W41" s="343"/>
      <c r="X41" s="388">
        <f t="shared" si="18"/>
      </c>
      <c r="Y41" s="375" t="e">
        <f t="shared" si="4"/>
        <v>#N/A</v>
      </c>
      <c r="Z41" s="375" t="e">
        <f t="shared" si="5"/>
        <v>#N/A</v>
      </c>
      <c r="AA41" s="375">
        <f t="shared" si="19"/>
      </c>
      <c r="AB41" s="377">
        <f t="shared" si="6"/>
        <v>1</v>
      </c>
      <c r="AC41" s="375" t="str">
        <f t="shared" si="7"/>
        <v> </v>
      </c>
      <c r="AD41" s="375" t="e">
        <f t="shared" si="8"/>
        <v>#N/A</v>
      </c>
      <c r="AE41" s="375" t="str">
        <f t="shared" si="9"/>
        <v> </v>
      </c>
      <c r="AF41" s="375" t="e">
        <f t="shared" si="10"/>
        <v>#N/A</v>
      </c>
      <c r="AG41" s="378" t="str">
        <f t="shared" si="11"/>
        <v> </v>
      </c>
      <c r="AH41" s="379" t="e">
        <f t="shared" si="28"/>
        <v>#VALUE!</v>
      </c>
      <c r="AI41" s="378" t="e">
        <f t="shared" si="13"/>
        <v>#VALUE!</v>
      </c>
      <c r="AJ41" s="375" t="e">
        <f t="shared" si="22"/>
        <v>#N/A</v>
      </c>
      <c r="AK41" s="375" t="e">
        <f>VLOOKUP(AJ41,'排出係数表'!$A$4:$C$202,2,FALSE)</f>
        <v>#N/A</v>
      </c>
      <c r="AL41" s="375" t="e">
        <f t="shared" si="14"/>
        <v>#N/A</v>
      </c>
      <c r="AM41" s="375" t="e">
        <f>VLOOKUP(AJ41,'排出係数表'!$A$4:$C$202,3,FALSE)</f>
        <v>#N/A</v>
      </c>
      <c r="AN41" s="375" t="e">
        <f t="shared" si="15"/>
        <v>#N/A</v>
      </c>
      <c r="AO41" s="375">
        <f t="shared" si="16"/>
      </c>
      <c r="AP41" s="379" t="str">
        <f t="shared" si="17"/>
        <v>-</v>
      </c>
      <c r="AQ41" s="375" t="e">
        <f t="shared" si="27"/>
        <v>#VALUE!</v>
      </c>
      <c r="AR41" s="375">
        <f t="shared" si="21"/>
      </c>
    </row>
    <row r="42" spans="1:44" s="380" customFormat="1" ht="13.5" customHeight="1">
      <c r="A42" s="375" t="str">
        <f>IF(ISBLANK(F42)=TRUE," ",IF(ISBLANK('様式2'!$C$23)=TRUE," ",'様式2'!$C$23))</f>
        <v> </v>
      </c>
      <c r="B42" s="375" t="e">
        <f>LOOKUP(LOOKUP(C42,'様式3'!$A$5:$A$44,'様式3'!$C$5:$C$44),'産業分類表'!$D$2:$D$68,'産業分類表'!$E$2:$E$68)</f>
        <v>#N/A</v>
      </c>
      <c r="C42" s="343"/>
      <c r="D42" s="343"/>
      <c r="E42" s="343"/>
      <c r="F42" s="343"/>
      <c r="G42" s="341"/>
      <c r="H42" s="349"/>
      <c r="I42" s="343"/>
      <c r="J42" s="343"/>
      <c r="K42" s="342"/>
      <c r="L42" s="350"/>
      <c r="M42" s="351"/>
      <c r="N42" s="343"/>
      <c r="O42" s="354">
        <f t="shared" si="29"/>
      </c>
      <c r="P42" s="354">
        <f t="shared" si="30"/>
      </c>
      <c r="Q42" s="389"/>
      <c r="R42" s="376">
        <f t="shared" si="25"/>
      </c>
      <c r="S42" s="376">
        <f t="shared" si="26"/>
      </c>
      <c r="T42" s="352"/>
      <c r="U42" s="353"/>
      <c r="V42" s="352"/>
      <c r="W42" s="343"/>
      <c r="X42" s="388">
        <f t="shared" si="18"/>
      </c>
      <c r="Y42" s="375" t="e">
        <f t="shared" si="4"/>
        <v>#N/A</v>
      </c>
      <c r="Z42" s="375" t="e">
        <f t="shared" si="5"/>
        <v>#N/A</v>
      </c>
      <c r="AA42" s="375">
        <f t="shared" si="19"/>
      </c>
      <c r="AB42" s="377">
        <f t="shared" si="6"/>
        <v>1</v>
      </c>
      <c r="AC42" s="375" t="str">
        <f t="shared" si="7"/>
        <v> </v>
      </c>
      <c r="AD42" s="375" t="e">
        <f t="shared" si="8"/>
        <v>#N/A</v>
      </c>
      <c r="AE42" s="375" t="str">
        <f t="shared" si="9"/>
        <v> </v>
      </c>
      <c r="AF42" s="375" t="e">
        <f t="shared" si="10"/>
        <v>#N/A</v>
      </c>
      <c r="AG42" s="378" t="str">
        <f t="shared" si="11"/>
        <v> </v>
      </c>
      <c r="AH42" s="379" t="e">
        <f t="shared" si="28"/>
        <v>#VALUE!</v>
      </c>
      <c r="AI42" s="378" t="e">
        <f t="shared" si="13"/>
        <v>#VALUE!</v>
      </c>
      <c r="AJ42" s="375" t="e">
        <f t="shared" si="22"/>
        <v>#N/A</v>
      </c>
      <c r="AK42" s="375" t="e">
        <f>VLOOKUP(AJ42,'排出係数表'!$A$4:$C$202,2,FALSE)</f>
        <v>#N/A</v>
      </c>
      <c r="AL42" s="375" t="e">
        <f t="shared" si="14"/>
        <v>#N/A</v>
      </c>
      <c r="AM42" s="375" t="e">
        <f>VLOOKUP(AJ42,'排出係数表'!$A$4:$C$202,3,FALSE)</f>
        <v>#N/A</v>
      </c>
      <c r="AN42" s="375" t="e">
        <f t="shared" si="15"/>
        <v>#N/A</v>
      </c>
      <c r="AO42" s="375">
        <f t="shared" si="16"/>
      </c>
      <c r="AP42" s="379" t="str">
        <f t="shared" si="17"/>
        <v>-</v>
      </c>
      <c r="AQ42" s="375" t="e">
        <f t="shared" si="27"/>
        <v>#VALUE!</v>
      </c>
      <c r="AR42" s="375">
        <f t="shared" si="21"/>
      </c>
    </row>
    <row r="43" spans="1:44" s="380" customFormat="1" ht="13.5" customHeight="1">
      <c r="A43" s="375" t="str">
        <f>IF(ISBLANK(F43)=TRUE," ",IF(ISBLANK('様式2'!$C$23)=TRUE," ",'様式2'!$C$23))</f>
        <v> </v>
      </c>
      <c r="B43" s="375" t="e">
        <f>LOOKUP(LOOKUP(C43,'様式3'!$A$5:$A$44,'様式3'!$C$5:$C$44),'産業分類表'!$D$2:$D$68,'産業分類表'!$E$2:$E$68)</f>
        <v>#N/A</v>
      </c>
      <c r="C43" s="343"/>
      <c r="D43" s="343"/>
      <c r="E43" s="343"/>
      <c r="F43" s="343"/>
      <c r="G43" s="341"/>
      <c r="H43" s="349"/>
      <c r="I43" s="343"/>
      <c r="J43" s="343"/>
      <c r="K43" s="342"/>
      <c r="L43" s="350"/>
      <c r="M43" s="351"/>
      <c r="N43" s="343"/>
      <c r="O43" s="354">
        <f t="shared" si="29"/>
      </c>
      <c r="P43" s="354">
        <f t="shared" si="30"/>
      </c>
      <c r="Q43" s="389"/>
      <c r="R43" s="376">
        <f t="shared" si="25"/>
      </c>
      <c r="S43" s="376">
        <f t="shared" si="26"/>
      </c>
      <c r="T43" s="352"/>
      <c r="U43" s="353"/>
      <c r="V43" s="352"/>
      <c r="W43" s="343"/>
      <c r="X43" s="388">
        <f t="shared" si="18"/>
      </c>
      <c r="Y43" s="375" t="e">
        <f t="shared" si="4"/>
        <v>#N/A</v>
      </c>
      <c r="Z43" s="375" t="e">
        <f t="shared" si="5"/>
        <v>#N/A</v>
      </c>
      <c r="AA43" s="375">
        <f t="shared" si="19"/>
      </c>
      <c r="AB43" s="377">
        <f t="shared" si="6"/>
        <v>1</v>
      </c>
      <c r="AC43" s="375" t="str">
        <f t="shared" si="7"/>
        <v> </v>
      </c>
      <c r="AD43" s="375" t="e">
        <f t="shared" si="8"/>
        <v>#N/A</v>
      </c>
      <c r="AE43" s="375" t="str">
        <f t="shared" si="9"/>
        <v> </v>
      </c>
      <c r="AF43" s="375" t="e">
        <f t="shared" si="10"/>
        <v>#N/A</v>
      </c>
      <c r="AG43" s="378" t="str">
        <f t="shared" si="11"/>
        <v> </v>
      </c>
      <c r="AH43" s="379" t="e">
        <f t="shared" si="28"/>
        <v>#VALUE!</v>
      </c>
      <c r="AI43" s="378" t="e">
        <f t="shared" si="13"/>
        <v>#VALUE!</v>
      </c>
      <c r="AJ43" s="375" t="e">
        <f t="shared" si="22"/>
        <v>#N/A</v>
      </c>
      <c r="AK43" s="375" t="e">
        <f>VLOOKUP(AJ43,'排出係数表'!$A$4:$C$202,2,FALSE)</f>
        <v>#N/A</v>
      </c>
      <c r="AL43" s="375" t="e">
        <f t="shared" si="14"/>
        <v>#N/A</v>
      </c>
      <c r="AM43" s="375" t="e">
        <f>VLOOKUP(AJ43,'排出係数表'!$A$4:$C$202,3,FALSE)</f>
        <v>#N/A</v>
      </c>
      <c r="AN43" s="375" t="e">
        <f t="shared" si="15"/>
        <v>#N/A</v>
      </c>
      <c r="AO43" s="375">
        <f t="shared" si="16"/>
      </c>
      <c r="AP43" s="379" t="str">
        <f t="shared" si="17"/>
        <v>-</v>
      </c>
      <c r="AQ43" s="375" t="e">
        <f t="shared" si="27"/>
        <v>#VALUE!</v>
      </c>
      <c r="AR43" s="375">
        <f t="shared" si="21"/>
      </c>
    </row>
    <row r="44" spans="1:44" s="380" customFormat="1" ht="13.5" customHeight="1">
      <c r="A44" s="375" t="str">
        <f>IF(ISBLANK(F44)=TRUE," ",IF(ISBLANK('様式2'!$C$23)=TRUE," ",'様式2'!$C$23))</f>
        <v> </v>
      </c>
      <c r="B44" s="375" t="e">
        <f>LOOKUP(LOOKUP(C44,'様式3'!$A$5:$A$44,'様式3'!$C$5:$C$44),'産業分類表'!$D$2:$D$68,'産業分類表'!$E$2:$E$68)</f>
        <v>#N/A</v>
      </c>
      <c r="C44" s="343"/>
      <c r="D44" s="343"/>
      <c r="E44" s="343"/>
      <c r="F44" s="343"/>
      <c r="G44" s="341"/>
      <c r="H44" s="349"/>
      <c r="I44" s="343"/>
      <c r="J44" s="343"/>
      <c r="K44" s="342"/>
      <c r="L44" s="350"/>
      <c r="M44" s="351"/>
      <c r="N44" s="343"/>
      <c r="O44" s="354">
        <f t="shared" si="29"/>
      </c>
      <c r="P44" s="354">
        <f t="shared" si="30"/>
      </c>
      <c r="Q44" s="389"/>
      <c r="R44" s="376">
        <f t="shared" si="25"/>
      </c>
      <c r="S44" s="376">
        <f t="shared" si="26"/>
      </c>
      <c r="T44" s="352"/>
      <c r="U44" s="353"/>
      <c r="V44" s="352"/>
      <c r="W44" s="343"/>
      <c r="X44" s="388">
        <f t="shared" si="18"/>
      </c>
      <c r="Y44" s="375" t="e">
        <f t="shared" si="4"/>
        <v>#N/A</v>
      </c>
      <c r="Z44" s="375" t="e">
        <f t="shared" si="5"/>
        <v>#N/A</v>
      </c>
      <c r="AA44" s="375">
        <f t="shared" si="19"/>
      </c>
      <c r="AB44" s="377">
        <f t="shared" si="6"/>
        <v>1</v>
      </c>
      <c r="AC44" s="375" t="str">
        <f t="shared" si="7"/>
        <v> </v>
      </c>
      <c r="AD44" s="375" t="e">
        <f t="shared" si="8"/>
        <v>#N/A</v>
      </c>
      <c r="AE44" s="375" t="str">
        <f t="shared" si="9"/>
        <v> </v>
      </c>
      <c r="AF44" s="375" t="e">
        <f t="shared" si="10"/>
        <v>#N/A</v>
      </c>
      <c r="AG44" s="378" t="str">
        <f t="shared" si="11"/>
        <v> </v>
      </c>
      <c r="AH44" s="379" t="e">
        <f t="shared" si="28"/>
        <v>#VALUE!</v>
      </c>
      <c r="AI44" s="378" t="e">
        <f t="shared" si="13"/>
        <v>#VALUE!</v>
      </c>
      <c r="AJ44" s="375" t="e">
        <f t="shared" si="22"/>
        <v>#N/A</v>
      </c>
      <c r="AK44" s="375" t="e">
        <f>VLOOKUP(AJ44,'排出係数表'!$A$4:$C$202,2,FALSE)</f>
        <v>#N/A</v>
      </c>
      <c r="AL44" s="375" t="e">
        <f t="shared" si="14"/>
        <v>#N/A</v>
      </c>
      <c r="AM44" s="375" t="e">
        <f>VLOOKUP(AJ44,'排出係数表'!$A$4:$C$202,3,FALSE)</f>
        <v>#N/A</v>
      </c>
      <c r="AN44" s="375" t="e">
        <f t="shared" si="15"/>
        <v>#N/A</v>
      </c>
      <c r="AO44" s="375">
        <f t="shared" si="16"/>
      </c>
      <c r="AP44" s="379" t="str">
        <f t="shared" si="17"/>
        <v>-</v>
      </c>
      <c r="AQ44" s="375" t="e">
        <f t="shared" si="27"/>
        <v>#VALUE!</v>
      </c>
      <c r="AR44" s="375">
        <f t="shared" si="21"/>
      </c>
    </row>
    <row r="45" spans="1:44" s="380" customFormat="1" ht="13.5" customHeight="1">
      <c r="A45" s="375" t="str">
        <f>IF(ISBLANK(F45)=TRUE," ",IF(ISBLANK('様式2'!$C$23)=TRUE," ",'様式2'!$C$23))</f>
        <v> </v>
      </c>
      <c r="B45" s="375" t="e">
        <f>LOOKUP(LOOKUP(C45,'様式3'!$A$5:$A$44,'様式3'!$C$5:$C$44),'産業分類表'!$D$2:$D$68,'産業分類表'!$E$2:$E$68)</f>
        <v>#N/A</v>
      </c>
      <c r="C45" s="343"/>
      <c r="D45" s="343"/>
      <c r="E45" s="343"/>
      <c r="F45" s="343"/>
      <c r="G45" s="341"/>
      <c r="H45" s="349"/>
      <c r="I45" s="343"/>
      <c r="J45" s="343"/>
      <c r="K45" s="342"/>
      <c r="L45" s="350"/>
      <c r="M45" s="351"/>
      <c r="N45" s="343"/>
      <c r="O45" s="354">
        <f t="shared" si="29"/>
      </c>
      <c r="P45" s="354">
        <f t="shared" si="30"/>
      </c>
      <c r="Q45" s="389"/>
      <c r="R45" s="376">
        <f t="shared" si="25"/>
      </c>
      <c r="S45" s="376">
        <f t="shared" si="26"/>
      </c>
      <c r="T45" s="352"/>
      <c r="U45" s="353"/>
      <c r="V45" s="352"/>
      <c r="W45" s="343"/>
      <c r="X45" s="388">
        <f t="shared" si="18"/>
      </c>
      <c r="Y45" s="375" t="e">
        <f t="shared" si="4"/>
        <v>#N/A</v>
      </c>
      <c r="Z45" s="375" t="e">
        <f t="shared" si="5"/>
        <v>#N/A</v>
      </c>
      <c r="AA45" s="375">
        <f t="shared" si="19"/>
      </c>
      <c r="AB45" s="377">
        <f t="shared" si="6"/>
        <v>1</v>
      </c>
      <c r="AC45" s="375" t="str">
        <f t="shared" si="7"/>
        <v> </v>
      </c>
      <c r="AD45" s="375" t="e">
        <f t="shared" si="8"/>
        <v>#N/A</v>
      </c>
      <c r="AE45" s="375" t="str">
        <f t="shared" si="9"/>
        <v> </v>
      </c>
      <c r="AF45" s="375" t="e">
        <f t="shared" si="10"/>
        <v>#N/A</v>
      </c>
      <c r="AG45" s="378" t="str">
        <f t="shared" si="11"/>
        <v> </v>
      </c>
      <c r="AH45" s="379" t="e">
        <f t="shared" si="28"/>
        <v>#VALUE!</v>
      </c>
      <c r="AI45" s="378" t="e">
        <f t="shared" si="13"/>
        <v>#VALUE!</v>
      </c>
      <c r="AJ45" s="375" t="e">
        <f t="shared" si="22"/>
        <v>#N/A</v>
      </c>
      <c r="AK45" s="375" t="e">
        <f>VLOOKUP(AJ45,'排出係数表'!$A$4:$C$202,2,FALSE)</f>
        <v>#N/A</v>
      </c>
      <c r="AL45" s="375" t="e">
        <f t="shared" si="14"/>
        <v>#N/A</v>
      </c>
      <c r="AM45" s="375" t="e">
        <f>VLOOKUP(AJ45,'排出係数表'!$A$4:$C$202,3,FALSE)</f>
        <v>#N/A</v>
      </c>
      <c r="AN45" s="375" t="e">
        <f t="shared" si="15"/>
        <v>#N/A</v>
      </c>
      <c r="AO45" s="375">
        <f t="shared" si="16"/>
      </c>
      <c r="AP45" s="379" t="str">
        <f t="shared" si="17"/>
        <v>-</v>
      </c>
      <c r="AQ45" s="375" t="e">
        <f t="shared" si="27"/>
        <v>#VALUE!</v>
      </c>
      <c r="AR45" s="375">
        <f t="shared" si="21"/>
      </c>
    </row>
    <row r="46" spans="1:44" s="380" customFormat="1" ht="13.5" customHeight="1">
      <c r="A46" s="375" t="str">
        <f>IF(ISBLANK(F46)=TRUE," ",IF(ISBLANK('様式2'!$C$23)=TRUE," ",'様式2'!$C$23))</f>
        <v> </v>
      </c>
      <c r="B46" s="375" t="e">
        <f>LOOKUP(LOOKUP(C46,'様式3'!$A$5:$A$44,'様式3'!$C$5:$C$44),'産業分類表'!$D$2:$D$68,'産業分類表'!$E$2:$E$68)</f>
        <v>#N/A</v>
      </c>
      <c r="C46" s="343"/>
      <c r="D46" s="343"/>
      <c r="E46" s="343"/>
      <c r="F46" s="343"/>
      <c r="G46" s="341"/>
      <c r="H46" s="349"/>
      <c r="I46" s="343"/>
      <c r="J46" s="343"/>
      <c r="K46" s="342"/>
      <c r="L46" s="350"/>
      <c r="M46" s="351"/>
      <c r="N46" s="343"/>
      <c r="O46" s="354">
        <f t="shared" si="29"/>
      </c>
      <c r="P46" s="354">
        <f t="shared" si="30"/>
      </c>
      <c r="Q46" s="389"/>
      <c r="R46" s="376">
        <f t="shared" si="25"/>
      </c>
      <c r="S46" s="376">
        <f t="shared" si="26"/>
      </c>
      <c r="T46" s="352"/>
      <c r="U46" s="353"/>
      <c r="V46" s="352"/>
      <c r="W46" s="343"/>
      <c r="X46" s="388">
        <f t="shared" si="18"/>
      </c>
      <c r="Y46" s="375" t="e">
        <f t="shared" si="4"/>
        <v>#N/A</v>
      </c>
      <c r="Z46" s="375" t="e">
        <f t="shared" si="5"/>
        <v>#N/A</v>
      </c>
      <c r="AA46" s="375">
        <f t="shared" si="19"/>
      </c>
      <c r="AB46" s="377">
        <f t="shared" si="6"/>
        <v>1</v>
      </c>
      <c r="AC46" s="375" t="str">
        <f t="shared" si="7"/>
        <v> </v>
      </c>
      <c r="AD46" s="375" t="e">
        <f t="shared" si="8"/>
        <v>#N/A</v>
      </c>
      <c r="AE46" s="375" t="str">
        <f t="shared" si="9"/>
        <v> </v>
      </c>
      <c r="AF46" s="375" t="e">
        <f t="shared" si="10"/>
        <v>#N/A</v>
      </c>
      <c r="AG46" s="378" t="str">
        <f t="shared" si="11"/>
        <v> </v>
      </c>
      <c r="AH46" s="379" t="e">
        <f t="shared" si="28"/>
        <v>#VALUE!</v>
      </c>
      <c r="AI46" s="378" t="e">
        <f t="shared" si="13"/>
        <v>#VALUE!</v>
      </c>
      <c r="AJ46" s="375" t="e">
        <f t="shared" si="22"/>
        <v>#N/A</v>
      </c>
      <c r="AK46" s="375" t="e">
        <f>VLOOKUP(AJ46,'排出係数表'!$A$4:$C$202,2,FALSE)</f>
        <v>#N/A</v>
      </c>
      <c r="AL46" s="375" t="e">
        <f t="shared" si="14"/>
        <v>#N/A</v>
      </c>
      <c r="AM46" s="375" t="e">
        <f>VLOOKUP(AJ46,'排出係数表'!$A$4:$C$202,3,FALSE)</f>
        <v>#N/A</v>
      </c>
      <c r="AN46" s="375" t="e">
        <f t="shared" si="15"/>
        <v>#N/A</v>
      </c>
      <c r="AO46" s="375">
        <f t="shared" si="16"/>
      </c>
      <c r="AP46" s="379" t="str">
        <f t="shared" si="17"/>
        <v>-</v>
      </c>
      <c r="AQ46" s="375" t="e">
        <f t="shared" si="27"/>
        <v>#VALUE!</v>
      </c>
      <c r="AR46" s="375">
        <f t="shared" si="21"/>
      </c>
    </row>
    <row r="47" spans="1:44" s="380" customFormat="1" ht="13.5" customHeight="1">
      <c r="A47" s="375" t="str">
        <f>IF(ISBLANK(F47)=TRUE," ",IF(ISBLANK('様式2'!$C$23)=TRUE," ",'様式2'!$C$23))</f>
        <v> </v>
      </c>
      <c r="B47" s="375" t="e">
        <f>LOOKUP(LOOKUP(C47,'様式3'!$A$5:$A$44,'様式3'!$C$5:$C$44),'産業分類表'!$D$2:$D$68,'産業分類表'!$E$2:$E$68)</f>
        <v>#N/A</v>
      </c>
      <c r="C47" s="343"/>
      <c r="D47" s="343"/>
      <c r="E47" s="343"/>
      <c r="F47" s="343"/>
      <c r="G47" s="341"/>
      <c r="H47" s="349"/>
      <c r="I47" s="343"/>
      <c r="J47" s="343"/>
      <c r="K47" s="342"/>
      <c r="L47" s="350"/>
      <c r="M47" s="351"/>
      <c r="N47" s="343"/>
      <c r="O47" s="354">
        <f t="shared" si="29"/>
      </c>
      <c r="P47" s="354">
        <f t="shared" si="30"/>
      </c>
      <c r="Q47" s="389"/>
      <c r="R47" s="376">
        <f t="shared" si="25"/>
      </c>
      <c r="S47" s="376">
        <f t="shared" si="26"/>
      </c>
      <c r="T47" s="352"/>
      <c r="U47" s="353"/>
      <c r="V47" s="352"/>
      <c r="W47" s="343"/>
      <c r="X47" s="388">
        <f t="shared" si="18"/>
      </c>
      <c r="Y47" s="375" t="e">
        <f t="shared" si="4"/>
        <v>#N/A</v>
      </c>
      <c r="Z47" s="375" t="e">
        <f t="shared" si="5"/>
        <v>#N/A</v>
      </c>
      <c r="AA47" s="375">
        <f t="shared" si="19"/>
      </c>
      <c r="AB47" s="377">
        <f t="shared" si="6"/>
        <v>1</v>
      </c>
      <c r="AC47" s="375" t="str">
        <f t="shared" si="7"/>
        <v> </v>
      </c>
      <c r="AD47" s="375" t="e">
        <f t="shared" si="8"/>
        <v>#N/A</v>
      </c>
      <c r="AE47" s="375" t="str">
        <f t="shared" si="9"/>
        <v> </v>
      </c>
      <c r="AF47" s="375" t="e">
        <f t="shared" si="10"/>
        <v>#N/A</v>
      </c>
      <c r="AG47" s="378" t="str">
        <f t="shared" si="11"/>
        <v> </v>
      </c>
      <c r="AH47" s="379" t="e">
        <f t="shared" si="28"/>
        <v>#VALUE!</v>
      </c>
      <c r="AI47" s="378" t="e">
        <f t="shared" si="13"/>
        <v>#VALUE!</v>
      </c>
      <c r="AJ47" s="375" t="e">
        <f t="shared" si="22"/>
        <v>#N/A</v>
      </c>
      <c r="AK47" s="375" t="e">
        <f>VLOOKUP(AJ47,'排出係数表'!$A$4:$C$202,2,FALSE)</f>
        <v>#N/A</v>
      </c>
      <c r="AL47" s="375" t="e">
        <f t="shared" si="14"/>
        <v>#N/A</v>
      </c>
      <c r="AM47" s="375" t="e">
        <f>VLOOKUP(AJ47,'排出係数表'!$A$4:$C$202,3,FALSE)</f>
        <v>#N/A</v>
      </c>
      <c r="AN47" s="375" t="e">
        <f t="shared" si="15"/>
        <v>#N/A</v>
      </c>
      <c r="AO47" s="375">
        <f t="shared" si="16"/>
      </c>
      <c r="AP47" s="379" t="str">
        <f t="shared" si="17"/>
        <v>-</v>
      </c>
      <c r="AQ47" s="375" t="e">
        <f t="shared" si="27"/>
        <v>#VALUE!</v>
      </c>
      <c r="AR47" s="375">
        <f t="shared" si="21"/>
      </c>
    </row>
    <row r="48" spans="1:44" s="380" customFormat="1" ht="13.5" customHeight="1">
      <c r="A48" s="375" t="str">
        <f>IF(ISBLANK(F48)=TRUE," ",IF(ISBLANK('様式2'!$C$23)=TRUE," ",'様式2'!$C$23))</f>
        <v> </v>
      </c>
      <c r="B48" s="375" t="e">
        <f>LOOKUP(LOOKUP(C48,'様式3'!$A$5:$A$44,'様式3'!$C$5:$C$44),'産業分類表'!$D$2:$D$68,'産業分類表'!$E$2:$E$68)</f>
        <v>#N/A</v>
      </c>
      <c r="C48" s="343"/>
      <c r="D48" s="343"/>
      <c r="E48" s="343"/>
      <c r="F48" s="343"/>
      <c r="G48" s="341"/>
      <c r="H48" s="349"/>
      <c r="I48" s="343"/>
      <c r="J48" s="343"/>
      <c r="K48" s="342"/>
      <c r="L48" s="350"/>
      <c r="M48" s="351"/>
      <c r="N48" s="343"/>
      <c r="O48" s="354">
        <f t="shared" si="29"/>
      </c>
      <c r="P48" s="354">
        <f t="shared" si="30"/>
      </c>
      <c r="Q48" s="389"/>
      <c r="R48" s="376">
        <f t="shared" si="25"/>
      </c>
      <c r="S48" s="376">
        <f t="shared" si="26"/>
      </c>
      <c r="T48" s="352"/>
      <c r="U48" s="353"/>
      <c r="V48" s="352"/>
      <c r="W48" s="343"/>
      <c r="X48" s="388">
        <f t="shared" si="18"/>
      </c>
      <c r="Y48" s="375" t="e">
        <f t="shared" si="4"/>
        <v>#N/A</v>
      </c>
      <c r="Z48" s="375" t="e">
        <f t="shared" si="5"/>
        <v>#N/A</v>
      </c>
      <c r="AA48" s="375">
        <f t="shared" si="19"/>
      </c>
      <c r="AB48" s="377">
        <f t="shared" si="6"/>
        <v>1</v>
      </c>
      <c r="AC48" s="375" t="str">
        <f t="shared" si="7"/>
        <v> </v>
      </c>
      <c r="AD48" s="375" t="e">
        <f t="shared" si="8"/>
        <v>#N/A</v>
      </c>
      <c r="AE48" s="375" t="str">
        <f t="shared" si="9"/>
        <v> </v>
      </c>
      <c r="AF48" s="375" t="e">
        <f t="shared" si="10"/>
        <v>#N/A</v>
      </c>
      <c r="AG48" s="378" t="str">
        <f t="shared" si="11"/>
        <v> </v>
      </c>
      <c r="AH48" s="379" t="e">
        <f t="shared" si="28"/>
        <v>#VALUE!</v>
      </c>
      <c r="AI48" s="378" t="e">
        <f t="shared" si="13"/>
        <v>#VALUE!</v>
      </c>
      <c r="AJ48" s="375" t="e">
        <f t="shared" si="22"/>
        <v>#N/A</v>
      </c>
      <c r="AK48" s="375" t="e">
        <f>VLOOKUP(AJ48,'排出係数表'!$A$4:$C$202,2,FALSE)</f>
        <v>#N/A</v>
      </c>
      <c r="AL48" s="375" t="e">
        <f t="shared" si="14"/>
        <v>#N/A</v>
      </c>
      <c r="AM48" s="375" t="e">
        <f>VLOOKUP(AJ48,'排出係数表'!$A$4:$C$202,3,FALSE)</f>
        <v>#N/A</v>
      </c>
      <c r="AN48" s="375" t="e">
        <f t="shared" si="15"/>
        <v>#N/A</v>
      </c>
      <c r="AO48" s="375">
        <f t="shared" si="16"/>
      </c>
      <c r="AP48" s="379" t="str">
        <f t="shared" si="17"/>
        <v>-</v>
      </c>
      <c r="AQ48" s="375" t="e">
        <f t="shared" si="27"/>
        <v>#VALUE!</v>
      </c>
      <c r="AR48" s="375">
        <f t="shared" si="21"/>
      </c>
    </row>
    <row r="49" spans="1:44" s="380" customFormat="1" ht="13.5" customHeight="1">
      <c r="A49" s="375" t="str">
        <f>IF(ISBLANK(F49)=TRUE," ",IF(ISBLANK('様式2'!$C$23)=TRUE," ",'様式2'!$C$23))</f>
        <v> </v>
      </c>
      <c r="B49" s="375" t="e">
        <f>LOOKUP(LOOKUP(C49,'様式3'!$A$5:$A$44,'様式3'!$C$5:$C$44),'産業分類表'!$D$2:$D$68,'産業分類表'!$E$2:$E$68)</f>
        <v>#N/A</v>
      </c>
      <c r="C49" s="343"/>
      <c r="D49" s="343"/>
      <c r="E49" s="343"/>
      <c r="F49" s="343"/>
      <c r="G49" s="341"/>
      <c r="H49" s="349"/>
      <c r="I49" s="343"/>
      <c r="J49" s="343"/>
      <c r="K49" s="342"/>
      <c r="L49" s="350"/>
      <c r="M49" s="351"/>
      <c r="N49" s="343"/>
      <c r="O49" s="354">
        <f t="shared" si="29"/>
      </c>
      <c r="P49" s="354">
        <f t="shared" si="30"/>
      </c>
      <c r="Q49" s="389"/>
      <c r="R49" s="376">
        <f t="shared" si="25"/>
      </c>
      <c r="S49" s="376">
        <f t="shared" si="26"/>
      </c>
      <c r="T49" s="352"/>
      <c r="U49" s="353"/>
      <c r="V49" s="352"/>
      <c r="W49" s="343"/>
      <c r="X49" s="388">
        <f t="shared" si="18"/>
      </c>
      <c r="Y49" s="375" t="e">
        <f t="shared" si="4"/>
        <v>#N/A</v>
      </c>
      <c r="Z49" s="375" t="e">
        <f t="shared" si="5"/>
        <v>#N/A</v>
      </c>
      <c r="AA49" s="375">
        <f t="shared" si="19"/>
      </c>
      <c r="AB49" s="377">
        <f t="shared" si="6"/>
        <v>1</v>
      </c>
      <c r="AC49" s="375" t="str">
        <f t="shared" si="7"/>
        <v> </v>
      </c>
      <c r="AD49" s="375" t="e">
        <f t="shared" si="8"/>
        <v>#N/A</v>
      </c>
      <c r="AE49" s="375" t="str">
        <f t="shared" si="9"/>
        <v> </v>
      </c>
      <c r="AF49" s="375" t="e">
        <f t="shared" si="10"/>
        <v>#N/A</v>
      </c>
      <c r="AG49" s="378" t="str">
        <f t="shared" si="11"/>
        <v> </v>
      </c>
      <c r="AH49" s="379" t="e">
        <f t="shared" si="28"/>
        <v>#VALUE!</v>
      </c>
      <c r="AI49" s="378" t="e">
        <f t="shared" si="13"/>
        <v>#VALUE!</v>
      </c>
      <c r="AJ49" s="375" t="e">
        <f t="shared" si="22"/>
        <v>#N/A</v>
      </c>
      <c r="AK49" s="375" t="e">
        <f>VLOOKUP(AJ49,'排出係数表'!$A$4:$C$202,2,FALSE)</f>
        <v>#N/A</v>
      </c>
      <c r="AL49" s="375" t="e">
        <f t="shared" si="14"/>
        <v>#N/A</v>
      </c>
      <c r="AM49" s="375" t="e">
        <f>VLOOKUP(AJ49,'排出係数表'!$A$4:$C$202,3,FALSE)</f>
        <v>#N/A</v>
      </c>
      <c r="AN49" s="375" t="e">
        <f t="shared" si="15"/>
        <v>#N/A</v>
      </c>
      <c r="AO49" s="375">
        <f t="shared" si="16"/>
      </c>
      <c r="AP49" s="379" t="str">
        <f t="shared" si="17"/>
        <v>-</v>
      </c>
      <c r="AQ49" s="375" t="e">
        <f t="shared" si="27"/>
        <v>#VALUE!</v>
      </c>
      <c r="AR49" s="375">
        <f t="shared" si="21"/>
      </c>
    </row>
    <row r="50" spans="1:44" s="380" customFormat="1" ht="13.5" customHeight="1">
      <c r="A50" s="375" t="str">
        <f>IF(ISBLANK(F50)=TRUE," ",IF(ISBLANK('様式2'!$C$23)=TRUE," ",'様式2'!$C$23))</f>
        <v> </v>
      </c>
      <c r="B50" s="375" t="e">
        <f>LOOKUP(LOOKUP(C50,'様式3'!$A$5:$A$44,'様式3'!$C$5:$C$44),'産業分類表'!$D$2:$D$68,'産業分類表'!$E$2:$E$68)</f>
        <v>#N/A</v>
      </c>
      <c r="C50" s="343"/>
      <c r="D50" s="343"/>
      <c r="E50" s="343"/>
      <c r="F50" s="343"/>
      <c r="G50" s="341"/>
      <c r="H50" s="349"/>
      <c r="I50" s="343"/>
      <c r="J50" s="343"/>
      <c r="K50" s="342"/>
      <c r="L50" s="350"/>
      <c r="M50" s="351"/>
      <c r="N50" s="343"/>
      <c r="O50" s="354">
        <f t="shared" si="29"/>
      </c>
      <c r="P50" s="354">
        <f t="shared" si="30"/>
      </c>
      <c r="Q50" s="389"/>
      <c r="R50" s="376">
        <f t="shared" si="25"/>
      </c>
      <c r="S50" s="376">
        <f t="shared" si="26"/>
      </c>
      <c r="T50" s="352"/>
      <c r="U50" s="353"/>
      <c r="V50" s="352"/>
      <c r="W50" s="343"/>
      <c r="X50" s="388">
        <f t="shared" si="18"/>
      </c>
      <c r="Y50" s="375" t="e">
        <f t="shared" si="4"/>
        <v>#N/A</v>
      </c>
      <c r="Z50" s="375" t="e">
        <f t="shared" si="5"/>
        <v>#N/A</v>
      </c>
      <c r="AA50" s="375">
        <f t="shared" si="19"/>
      </c>
      <c r="AB50" s="377">
        <f t="shared" si="6"/>
        <v>1</v>
      </c>
      <c r="AC50" s="375" t="str">
        <f t="shared" si="7"/>
        <v> </v>
      </c>
      <c r="AD50" s="375" t="e">
        <f t="shared" si="8"/>
        <v>#N/A</v>
      </c>
      <c r="AE50" s="375" t="str">
        <f t="shared" si="9"/>
        <v> </v>
      </c>
      <c r="AF50" s="375" t="e">
        <f t="shared" si="10"/>
        <v>#N/A</v>
      </c>
      <c r="AG50" s="378" t="str">
        <f t="shared" si="11"/>
        <v> </v>
      </c>
      <c r="AH50" s="379" t="e">
        <f t="shared" si="28"/>
        <v>#VALUE!</v>
      </c>
      <c r="AI50" s="378" t="e">
        <f t="shared" si="13"/>
        <v>#VALUE!</v>
      </c>
      <c r="AJ50" s="375" t="e">
        <f t="shared" si="22"/>
        <v>#N/A</v>
      </c>
      <c r="AK50" s="375" t="e">
        <f>VLOOKUP(AJ50,'排出係数表'!$A$4:$C$202,2,FALSE)</f>
        <v>#N/A</v>
      </c>
      <c r="AL50" s="375" t="e">
        <f t="shared" si="14"/>
        <v>#N/A</v>
      </c>
      <c r="AM50" s="375" t="e">
        <f>VLOOKUP(AJ50,'排出係数表'!$A$4:$C$202,3,FALSE)</f>
        <v>#N/A</v>
      </c>
      <c r="AN50" s="375" t="e">
        <f t="shared" si="15"/>
        <v>#N/A</v>
      </c>
      <c r="AO50" s="375">
        <f t="shared" si="16"/>
      </c>
      <c r="AP50" s="379" t="str">
        <f t="shared" si="17"/>
        <v>-</v>
      </c>
      <c r="AQ50" s="375" t="e">
        <f t="shared" si="27"/>
        <v>#VALUE!</v>
      </c>
      <c r="AR50" s="375">
        <f t="shared" si="21"/>
      </c>
    </row>
    <row r="51" spans="1:44" s="380" customFormat="1" ht="13.5" customHeight="1">
      <c r="A51" s="375" t="str">
        <f>IF(ISBLANK(F51)=TRUE," ",IF(ISBLANK('様式2'!$C$23)=TRUE," ",'様式2'!$C$23))</f>
        <v> </v>
      </c>
      <c r="B51" s="375" t="e">
        <f>LOOKUP(LOOKUP(C51,'様式3'!$A$5:$A$44,'様式3'!$C$5:$C$44),'産業分類表'!$D$2:$D$68,'産業分類表'!$E$2:$E$68)</f>
        <v>#N/A</v>
      </c>
      <c r="C51" s="343"/>
      <c r="D51" s="343"/>
      <c r="E51" s="343"/>
      <c r="F51" s="343"/>
      <c r="G51" s="341"/>
      <c r="H51" s="349"/>
      <c r="I51" s="343"/>
      <c r="J51" s="343"/>
      <c r="K51" s="342"/>
      <c r="L51" s="350"/>
      <c r="M51" s="351"/>
      <c r="N51" s="343"/>
      <c r="O51" s="354">
        <f t="shared" si="29"/>
      </c>
      <c r="P51" s="354">
        <f t="shared" si="30"/>
      </c>
      <c r="Q51" s="389"/>
      <c r="R51" s="376">
        <f t="shared" si="25"/>
      </c>
      <c r="S51" s="376">
        <f t="shared" si="26"/>
      </c>
      <c r="T51" s="352"/>
      <c r="U51" s="353"/>
      <c r="V51" s="352"/>
      <c r="W51" s="343"/>
      <c r="X51" s="388">
        <f t="shared" si="18"/>
      </c>
      <c r="Y51" s="375" t="e">
        <f t="shared" si="4"/>
        <v>#N/A</v>
      </c>
      <c r="Z51" s="375" t="e">
        <f t="shared" si="5"/>
        <v>#N/A</v>
      </c>
      <c r="AA51" s="375">
        <f t="shared" si="19"/>
      </c>
      <c r="AB51" s="377">
        <f t="shared" si="6"/>
        <v>1</v>
      </c>
      <c r="AC51" s="375" t="str">
        <f t="shared" si="7"/>
        <v> </v>
      </c>
      <c r="AD51" s="375" t="e">
        <f t="shared" si="8"/>
        <v>#N/A</v>
      </c>
      <c r="AE51" s="375" t="str">
        <f t="shared" si="9"/>
        <v> </v>
      </c>
      <c r="AF51" s="375" t="e">
        <f t="shared" si="10"/>
        <v>#N/A</v>
      </c>
      <c r="AG51" s="378" t="str">
        <f t="shared" si="11"/>
        <v> </v>
      </c>
      <c r="AH51" s="379" t="e">
        <f t="shared" si="28"/>
        <v>#VALUE!</v>
      </c>
      <c r="AI51" s="378" t="e">
        <f t="shared" si="13"/>
        <v>#VALUE!</v>
      </c>
      <c r="AJ51" s="375" t="e">
        <f t="shared" si="22"/>
        <v>#N/A</v>
      </c>
      <c r="AK51" s="375" t="e">
        <f>VLOOKUP(AJ51,'排出係数表'!$A$4:$C$202,2,FALSE)</f>
        <v>#N/A</v>
      </c>
      <c r="AL51" s="375" t="e">
        <f t="shared" si="14"/>
        <v>#N/A</v>
      </c>
      <c r="AM51" s="375" t="e">
        <f>VLOOKUP(AJ51,'排出係数表'!$A$4:$C$202,3,FALSE)</f>
        <v>#N/A</v>
      </c>
      <c r="AN51" s="375" t="e">
        <f t="shared" si="15"/>
        <v>#N/A</v>
      </c>
      <c r="AO51" s="375">
        <f t="shared" si="16"/>
      </c>
      <c r="AP51" s="379" t="str">
        <f t="shared" si="17"/>
        <v>-</v>
      </c>
      <c r="AQ51" s="375" t="e">
        <f t="shared" si="27"/>
        <v>#VALUE!</v>
      </c>
      <c r="AR51" s="375">
        <f t="shared" si="21"/>
      </c>
    </row>
    <row r="52" spans="1:44" s="380" customFormat="1" ht="13.5" customHeight="1">
      <c r="A52" s="375" t="str">
        <f>IF(ISBLANK(F52)=TRUE," ",IF(ISBLANK('様式2'!$C$23)=TRUE," ",'様式2'!$C$23))</f>
        <v> </v>
      </c>
      <c r="B52" s="375" t="e">
        <f>LOOKUP(LOOKUP(C52,'様式3'!$A$5:$A$44,'様式3'!$C$5:$C$44),'産業分類表'!$D$2:$D$68,'産業分類表'!$E$2:$E$68)</f>
        <v>#N/A</v>
      </c>
      <c r="C52" s="343"/>
      <c r="D52" s="343"/>
      <c r="E52" s="343"/>
      <c r="F52" s="343"/>
      <c r="G52" s="341"/>
      <c r="H52" s="349"/>
      <c r="I52" s="343"/>
      <c r="J52" s="343"/>
      <c r="K52" s="342"/>
      <c r="L52" s="350"/>
      <c r="M52" s="351"/>
      <c r="N52" s="343"/>
      <c r="O52" s="354">
        <f t="shared" si="29"/>
      </c>
      <c r="P52" s="354">
        <f t="shared" si="30"/>
      </c>
      <c r="Q52" s="389"/>
      <c r="R52" s="376">
        <f t="shared" si="25"/>
      </c>
      <c r="S52" s="376">
        <f t="shared" si="26"/>
      </c>
      <c r="T52" s="352"/>
      <c r="U52" s="353"/>
      <c r="V52" s="352"/>
      <c r="W52" s="343"/>
      <c r="X52" s="388">
        <f t="shared" si="18"/>
      </c>
      <c r="Y52" s="375" t="e">
        <f t="shared" si="4"/>
        <v>#N/A</v>
      </c>
      <c r="Z52" s="375" t="e">
        <f t="shared" si="5"/>
        <v>#N/A</v>
      </c>
      <c r="AA52" s="375">
        <f t="shared" si="19"/>
      </c>
      <c r="AB52" s="377">
        <f t="shared" si="6"/>
        <v>1</v>
      </c>
      <c r="AC52" s="375" t="str">
        <f t="shared" si="7"/>
        <v> </v>
      </c>
      <c r="AD52" s="375" t="e">
        <f t="shared" si="8"/>
        <v>#N/A</v>
      </c>
      <c r="AE52" s="375" t="str">
        <f t="shared" si="9"/>
        <v> </v>
      </c>
      <c r="AF52" s="375" t="e">
        <f t="shared" si="10"/>
        <v>#N/A</v>
      </c>
      <c r="AG52" s="378" t="str">
        <f t="shared" si="11"/>
        <v> </v>
      </c>
      <c r="AH52" s="379" t="e">
        <f t="shared" si="28"/>
        <v>#VALUE!</v>
      </c>
      <c r="AI52" s="378" t="e">
        <f t="shared" si="13"/>
        <v>#VALUE!</v>
      </c>
      <c r="AJ52" s="375" t="e">
        <f t="shared" si="22"/>
        <v>#N/A</v>
      </c>
      <c r="AK52" s="375" t="e">
        <f>VLOOKUP(AJ52,'排出係数表'!$A$4:$C$202,2,FALSE)</f>
        <v>#N/A</v>
      </c>
      <c r="AL52" s="375" t="e">
        <f t="shared" si="14"/>
        <v>#N/A</v>
      </c>
      <c r="AM52" s="375" t="e">
        <f>VLOOKUP(AJ52,'排出係数表'!$A$4:$C$202,3,FALSE)</f>
        <v>#N/A</v>
      </c>
      <c r="AN52" s="375" t="e">
        <f t="shared" si="15"/>
        <v>#N/A</v>
      </c>
      <c r="AO52" s="375">
        <f t="shared" si="16"/>
      </c>
      <c r="AP52" s="379" t="str">
        <f t="shared" si="17"/>
        <v>-</v>
      </c>
      <c r="AQ52" s="375" t="e">
        <f t="shared" si="27"/>
        <v>#VALUE!</v>
      </c>
      <c r="AR52" s="375">
        <f t="shared" si="21"/>
      </c>
    </row>
    <row r="53" spans="1:44" s="380" customFormat="1" ht="13.5" customHeight="1">
      <c r="A53" s="375" t="str">
        <f>IF(ISBLANK(F53)=TRUE," ",IF(ISBLANK('様式2'!$C$23)=TRUE," ",'様式2'!$C$23))</f>
        <v> </v>
      </c>
      <c r="B53" s="375" t="e">
        <f>LOOKUP(LOOKUP(C53,'様式3'!$A$5:$A$44,'様式3'!$C$5:$C$44),'産業分類表'!$D$2:$D$68,'産業分類表'!$E$2:$E$68)</f>
        <v>#N/A</v>
      </c>
      <c r="C53" s="343"/>
      <c r="D53" s="343"/>
      <c r="E53" s="343"/>
      <c r="F53" s="343"/>
      <c r="G53" s="341"/>
      <c r="H53" s="349"/>
      <c r="I53" s="343"/>
      <c r="J53" s="343"/>
      <c r="K53" s="342"/>
      <c r="L53" s="350"/>
      <c r="M53" s="351"/>
      <c r="N53" s="343"/>
      <c r="O53" s="354">
        <f t="shared" si="29"/>
      </c>
      <c r="P53" s="354">
        <f t="shared" si="30"/>
      </c>
      <c r="Q53" s="389"/>
      <c r="R53" s="376">
        <f t="shared" si="25"/>
      </c>
      <c r="S53" s="376">
        <f t="shared" si="26"/>
      </c>
      <c r="T53" s="352"/>
      <c r="U53" s="353"/>
      <c r="V53" s="352"/>
      <c r="W53" s="343"/>
      <c r="X53" s="388">
        <f t="shared" si="18"/>
      </c>
      <c r="Y53" s="375" t="e">
        <f t="shared" si="4"/>
        <v>#N/A</v>
      </c>
      <c r="Z53" s="375" t="e">
        <f t="shared" si="5"/>
        <v>#N/A</v>
      </c>
      <c r="AA53" s="375">
        <f t="shared" si="19"/>
      </c>
      <c r="AB53" s="377">
        <f t="shared" si="6"/>
        <v>1</v>
      </c>
      <c r="AC53" s="375" t="str">
        <f t="shared" si="7"/>
        <v> </v>
      </c>
      <c r="AD53" s="375" t="e">
        <f t="shared" si="8"/>
        <v>#N/A</v>
      </c>
      <c r="AE53" s="375" t="str">
        <f t="shared" si="9"/>
        <v> </v>
      </c>
      <c r="AF53" s="375" t="e">
        <f t="shared" si="10"/>
        <v>#N/A</v>
      </c>
      <c r="AG53" s="378" t="str">
        <f t="shared" si="11"/>
        <v> </v>
      </c>
      <c r="AH53" s="379" t="e">
        <f t="shared" si="28"/>
        <v>#VALUE!</v>
      </c>
      <c r="AI53" s="378" t="e">
        <f t="shared" si="13"/>
        <v>#VALUE!</v>
      </c>
      <c r="AJ53" s="375" t="e">
        <f t="shared" si="22"/>
        <v>#N/A</v>
      </c>
      <c r="AK53" s="375" t="e">
        <f>VLOOKUP(AJ53,'排出係数表'!$A$4:$C$202,2,FALSE)</f>
        <v>#N/A</v>
      </c>
      <c r="AL53" s="375" t="e">
        <f t="shared" si="14"/>
        <v>#N/A</v>
      </c>
      <c r="AM53" s="375" t="e">
        <f>VLOOKUP(AJ53,'排出係数表'!$A$4:$C$202,3,FALSE)</f>
        <v>#N/A</v>
      </c>
      <c r="AN53" s="375" t="e">
        <f t="shared" si="15"/>
        <v>#N/A</v>
      </c>
      <c r="AO53" s="375">
        <f t="shared" si="16"/>
      </c>
      <c r="AP53" s="379" t="str">
        <f t="shared" si="17"/>
        <v>-</v>
      </c>
      <c r="AQ53" s="375" t="e">
        <f t="shared" si="27"/>
        <v>#VALUE!</v>
      </c>
      <c r="AR53" s="375">
        <f t="shared" si="21"/>
      </c>
    </row>
    <row r="54" spans="1:44" s="380" customFormat="1" ht="13.5" customHeight="1">
      <c r="A54" s="375" t="str">
        <f>IF(ISBLANK(F54)=TRUE," ",IF(ISBLANK('様式2'!$C$23)=TRUE," ",'様式2'!$C$23))</f>
        <v> </v>
      </c>
      <c r="B54" s="375" t="e">
        <f>LOOKUP(LOOKUP(C54,'様式3'!$A$5:$A$44,'様式3'!$C$5:$C$44),'産業分類表'!$D$2:$D$68,'産業分類表'!$E$2:$E$68)</f>
        <v>#N/A</v>
      </c>
      <c r="C54" s="343"/>
      <c r="D54" s="343"/>
      <c r="E54" s="343"/>
      <c r="F54" s="343"/>
      <c r="G54" s="341"/>
      <c r="H54" s="349"/>
      <c r="I54" s="343"/>
      <c r="J54" s="343"/>
      <c r="K54" s="342"/>
      <c r="L54" s="350"/>
      <c r="M54" s="351"/>
      <c r="N54" s="343"/>
      <c r="O54" s="354">
        <f t="shared" si="29"/>
      </c>
      <c r="P54" s="354">
        <f t="shared" si="30"/>
      </c>
      <c r="Q54" s="389"/>
      <c r="R54" s="376">
        <f t="shared" si="25"/>
      </c>
      <c r="S54" s="376">
        <f t="shared" si="26"/>
      </c>
      <c r="T54" s="352"/>
      <c r="U54" s="353"/>
      <c r="V54" s="352"/>
      <c r="W54" s="343"/>
      <c r="X54" s="388">
        <f t="shared" si="18"/>
      </c>
      <c r="Y54" s="375" t="e">
        <f t="shared" si="4"/>
        <v>#N/A</v>
      </c>
      <c r="Z54" s="375" t="e">
        <f t="shared" si="5"/>
        <v>#N/A</v>
      </c>
      <c r="AA54" s="375">
        <f t="shared" si="19"/>
      </c>
      <c r="AB54" s="377">
        <f t="shared" si="6"/>
        <v>1</v>
      </c>
      <c r="AC54" s="375" t="str">
        <f t="shared" si="7"/>
        <v> </v>
      </c>
      <c r="AD54" s="375" t="e">
        <f t="shared" si="8"/>
        <v>#N/A</v>
      </c>
      <c r="AE54" s="375" t="str">
        <f t="shared" si="9"/>
        <v> </v>
      </c>
      <c r="AF54" s="375" t="e">
        <f t="shared" si="10"/>
        <v>#N/A</v>
      </c>
      <c r="AG54" s="378" t="str">
        <f t="shared" si="11"/>
        <v> </v>
      </c>
      <c r="AH54" s="379" t="e">
        <f t="shared" si="28"/>
        <v>#VALUE!</v>
      </c>
      <c r="AI54" s="378" t="e">
        <f t="shared" si="13"/>
        <v>#VALUE!</v>
      </c>
      <c r="AJ54" s="375" t="e">
        <f t="shared" si="22"/>
        <v>#N/A</v>
      </c>
      <c r="AK54" s="375" t="e">
        <f>VLOOKUP(AJ54,'排出係数表'!$A$4:$C$202,2,FALSE)</f>
        <v>#N/A</v>
      </c>
      <c r="AL54" s="375" t="e">
        <f t="shared" si="14"/>
        <v>#N/A</v>
      </c>
      <c r="AM54" s="375" t="e">
        <f>VLOOKUP(AJ54,'排出係数表'!$A$4:$C$202,3,FALSE)</f>
        <v>#N/A</v>
      </c>
      <c r="AN54" s="375" t="e">
        <f t="shared" si="15"/>
        <v>#N/A</v>
      </c>
      <c r="AO54" s="375">
        <f t="shared" si="16"/>
      </c>
      <c r="AP54" s="379" t="str">
        <f t="shared" si="17"/>
        <v>-</v>
      </c>
      <c r="AQ54" s="375" t="e">
        <f t="shared" si="27"/>
        <v>#VALUE!</v>
      </c>
      <c r="AR54" s="375">
        <f t="shared" si="21"/>
      </c>
    </row>
    <row r="55" spans="1:44" s="380" customFormat="1" ht="13.5" customHeight="1">
      <c r="A55" s="375" t="str">
        <f>IF(ISBLANK(F55)=TRUE," ",IF(ISBLANK('様式2'!$C$23)=TRUE," ",'様式2'!$C$23))</f>
        <v> </v>
      </c>
      <c r="B55" s="375" t="e">
        <f>LOOKUP(LOOKUP(C55,'様式3'!$A$5:$A$44,'様式3'!$C$5:$C$44),'産業分類表'!$D$2:$D$68,'産業分類表'!$E$2:$E$68)</f>
        <v>#N/A</v>
      </c>
      <c r="C55" s="343"/>
      <c r="D55" s="343"/>
      <c r="E55" s="343"/>
      <c r="F55" s="343"/>
      <c r="G55" s="341"/>
      <c r="H55" s="349"/>
      <c r="I55" s="343"/>
      <c r="J55" s="343"/>
      <c r="K55" s="342"/>
      <c r="L55" s="350"/>
      <c r="M55" s="351"/>
      <c r="N55" s="343"/>
      <c r="O55" s="354">
        <f t="shared" si="29"/>
      </c>
      <c r="P55" s="354">
        <f t="shared" si="30"/>
      </c>
      <c r="Q55" s="389"/>
      <c r="R55" s="376">
        <f t="shared" si="25"/>
      </c>
      <c r="S55" s="376">
        <f t="shared" si="26"/>
      </c>
      <c r="T55" s="352"/>
      <c r="U55" s="353"/>
      <c r="V55" s="352"/>
      <c r="W55" s="343"/>
      <c r="X55" s="388">
        <f t="shared" si="18"/>
      </c>
      <c r="Y55" s="375" t="e">
        <f t="shared" si="4"/>
        <v>#N/A</v>
      </c>
      <c r="Z55" s="375" t="e">
        <f t="shared" si="5"/>
        <v>#N/A</v>
      </c>
      <c r="AA55" s="375">
        <f t="shared" si="19"/>
      </c>
      <c r="AB55" s="377">
        <f t="shared" si="6"/>
        <v>1</v>
      </c>
      <c r="AC55" s="375" t="str">
        <f t="shared" si="7"/>
        <v> </v>
      </c>
      <c r="AD55" s="375" t="e">
        <f t="shared" si="8"/>
        <v>#N/A</v>
      </c>
      <c r="AE55" s="375" t="str">
        <f t="shared" si="9"/>
        <v> </v>
      </c>
      <c r="AF55" s="375" t="e">
        <f t="shared" si="10"/>
        <v>#N/A</v>
      </c>
      <c r="AG55" s="378" t="str">
        <f t="shared" si="11"/>
        <v> </v>
      </c>
      <c r="AH55" s="379" t="e">
        <f t="shared" si="28"/>
        <v>#VALUE!</v>
      </c>
      <c r="AI55" s="378" t="e">
        <f t="shared" si="13"/>
        <v>#VALUE!</v>
      </c>
      <c r="AJ55" s="375" t="e">
        <f t="shared" si="22"/>
        <v>#N/A</v>
      </c>
      <c r="AK55" s="375" t="e">
        <f>VLOOKUP(AJ55,'排出係数表'!$A$4:$C$202,2,FALSE)</f>
        <v>#N/A</v>
      </c>
      <c r="AL55" s="375" t="e">
        <f t="shared" si="14"/>
        <v>#N/A</v>
      </c>
      <c r="AM55" s="375" t="e">
        <f>VLOOKUP(AJ55,'排出係数表'!$A$4:$C$202,3,FALSE)</f>
        <v>#N/A</v>
      </c>
      <c r="AN55" s="375" t="e">
        <f t="shared" si="15"/>
        <v>#N/A</v>
      </c>
      <c r="AO55" s="375">
        <f t="shared" si="16"/>
      </c>
      <c r="AP55" s="379" t="str">
        <f t="shared" si="17"/>
        <v>-</v>
      </c>
      <c r="AQ55" s="375" t="e">
        <f t="shared" si="27"/>
        <v>#VALUE!</v>
      </c>
      <c r="AR55" s="375">
        <f t="shared" si="21"/>
      </c>
    </row>
    <row r="56" spans="1:44" s="380" customFormat="1" ht="13.5" customHeight="1">
      <c r="A56" s="375" t="str">
        <f>IF(ISBLANK(F56)=TRUE," ",IF(ISBLANK('様式2'!$C$23)=TRUE," ",'様式2'!$C$23))</f>
        <v> </v>
      </c>
      <c r="B56" s="375" t="e">
        <f>LOOKUP(LOOKUP(C56,'様式3'!$A$5:$A$44,'様式3'!$C$5:$C$44),'産業分類表'!$D$2:$D$68,'産業分類表'!$E$2:$E$68)</f>
        <v>#N/A</v>
      </c>
      <c r="C56" s="343"/>
      <c r="D56" s="343"/>
      <c r="E56" s="343"/>
      <c r="F56" s="343"/>
      <c r="G56" s="341"/>
      <c r="H56" s="349"/>
      <c r="I56" s="343"/>
      <c r="J56" s="343"/>
      <c r="K56" s="342"/>
      <c r="L56" s="350"/>
      <c r="M56" s="351"/>
      <c r="N56" s="343"/>
      <c r="O56" s="354">
        <f t="shared" si="29"/>
      </c>
      <c r="P56" s="354">
        <f t="shared" si="30"/>
      </c>
      <c r="Q56" s="389"/>
      <c r="R56" s="376">
        <f t="shared" si="25"/>
      </c>
      <c r="S56" s="376">
        <f t="shared" si="26"/>
      </c>
      <c r="T56" s="352"/>
      <c r="U56" s="353"/>
      <c r="V56" s="352"/>
      <c r="W56" s="343"/>
      <c r="X56" s="388">
        <f t="shared" si="18"/>
      </c>
      <c r="Y56" s="375" t="e">
        <f t="shared" si="4"/>
        <v>#N/A</v>
      </c>
      <c r="Z56" s="375" t="e">
        <f t="shared" si="5"/>
        <v>#N/A</v>
      </c>
      <c r="AA56" s="375">
        <f t="shared" si="19"/>
      </c>
      <c r="AB56" s="377">
        <f t="shared" si="6"/>
        <v>1</v>
      </c>
      <c r="AC56" s="375" t="str">
        <f t="shared" si="7"/>
        <v> </v>
      </c>
      <c r="AD56" s="375" t="e">
        <f t="shared" si="8"/>
        <v>#N/A</v>
      </c>
      <c r="AE56" s="375" t="str">
        <f t="shared" si="9"/>
        <v> </v>
      </c>
      <c r="AF56" s="375" t="e">
        <f t="shared" si="10"/>
        <v>#N/A</v>
      </c>
      <c r="AG56" s="378" t="str">
        <f t="shared" si="11"/>
        <v> </v>
      </c>
      <c r="AH56" s="379" t="e">
        <f t="shared" si="28"/>
        <v>#VALUE!</v>
      </c>
      <c r="AI56" s="378" t="e">
        <f t="shared" si="13"/>
        <v>#VALUE!</v>
      </c>
      <c r="AJ56" s="375" t="e">
        <f t="shared" si="22"/>
        <v>#N/A</v>
      </c>
      <c r="AK56" s="375" t="e">
        <f>VLOOKUP(AJ56,'排出係数表'!$A$4:$C$202,2,FALSE)</f>
        <v>#N/A</v>
      </c>
      <c r="AL56" s="375" t="e">
        <f t="shared" si="14"/>
        <v>#N/A</v>
      </c>
      <c r="AM56" s="375" t="e">
        <f>VLOOKUP(AJ56,'排出係数表'!$A$4:$C$202,3,FALSE)</f>
        <v>#N/A</v>
      </c>
      <c r="AN56" s="375" t="e">
        <f t="shared" si="15"/>
        <v>#N/A</v>
      </c>
      <c r="AO56" s="375">
        <f t="shared" si="16"/>
      </c>
      <c r="AP56" s="379" t="str">
        <f t="shared" si="17"/>
        <v>-</v>
      </c>
      <c r="AQ56" s="375" t="e">
        <f t="shared" si="27"/>
        <v>#VALUE!</v>
      </c>
      <c r="AR56" s="375">
        <f t="shared" si="21"/>
      </c>
    </row>
    <row r="57" spans="1:44" s="380" customFormat="1" ht="13.5" customHeight="1">
      <c r="A57" s="375" t="str">
        <f>IF(ISBLANK(F57)=TRUE," ",IF(ISBLANK('様式2'!$C$23)=TRUE," ",'様式2'!$C$23))</f>
        <v> </v>
      </c>
      <c r="B57" s="375" t="e">
        <f>LOOKUP(LOOKUP(C57,'様式3'!$A$5:$A$44,'様式3'!$C$5:$C$44),'産業分類表'!$D$2:$D$68,'産業分類表'!$E$2:$E$68)</f>
        <v>#N/A</v>
      </c>
      <c r="C57" s="343"/>
      <c r="D57" s="343"/>
      <c r="E57" s="343"/>
      <c r="F57" s="343"/>
      <c r="G57" s="341"/>
      <c r="H57" s="349"/>
      <c r="I57" s="343"/>
      <c r="J57" s="343"/>
      <c r="K57" s="342"/>
      <c r="L57" s="350"/>
      <c r="M57" s="351"/>
      <c r="N57" s="343"/>
      <c r="O57" s="354">
        <f t="shared" si="29"/>
      </c>
      <c r="P57" s="354">
        <f t="shared" si="30"/>
      </c>
      <c r="Q57" s="389"/>
      <c r="R57" s="376">
        <f t="shared" si="25"/>
      </c>
      <c r="S57" s="376">
        <f t="shared" si="26"/>
      </c>
      <c r="T57" s="352"/>
      <c r="U57" s="353"/>
      <c r="V57" s="352"/>
      <c r="W57" s="343"/>
      <c r="X57" s="388">
        <f t="shared" si="18"/>
      </c>
      <c r="Y57" s="375" t="e">
        <f t="shared" si="4"/>
        <v>#N/A</v>
      </c>
      <c r="Z57" s="375" t="e">
        <f t="shared" si="5"/>
        <v>#N/A</v>
      </c>
      <c r="AA57" s="375">
        <f t="shared" si="19"/>
      </c>
      <c r="AB57" s="377">
        <f t="shared" si="6"/>
        <v>1</v>
      </c>
      <c r="AC57" s="375" t="str">
        <f t="shared" si="7"/>
        <v> </v>
      </c>
      <c r="AD57" s="375" t="e">
        <f t="shared" si="8"/>
        <v>#N/A</v>
      </c>
      <c r="AE57" s="375" t="str">
        <f t="shared" si="9"/>
        <v> </v>
      </c>
      <c r="AF57" s="375" t="e">
        <f t="shared" si="10"/>
        <v>#N/A</v>
      </c>
      <c r="AG57" s="378" t="str">
        <f t="shared" si="11"/>
        <v> </v>
      </c>
      <c r="AH57" s="379" t="e">
        <f t="shared" si="28"/>
        <v>#VALUE!</v>
      </c>
      <c r="AI57" s="378" t="e">
        <f t="shared" si="13"/>
        <v>#VALUE!</v>
      </c>
      <c r="AJ57" s="375" t="e">
        <f t="shared" si="22"/>
        <v>#N/A</v>
      </c>
      <c r="AK57" s="375" t="e">
        <f>VLOOKUP(AJ57,'排出係数表'!$A$4:$C$202,2,FALSE)</f>
        <v>#N/A</v>
      </c>
      <c r="AL57" s="375" t="e">
        <f t="shared" si="14"/>
        <v>#N/A</v>
      </c>
      <c r="AM57" s="375" t="e">
        <f>VLOOKUP(AJ57,'排出係数表'!$A$4:$C$202,3,FALSE)</f>
        <v>#N/A</v>
      </c>
      <c r="AN57" s="375" t="e">
        <f t="shared" si="15"/>
        <v>#N/A</v>
      </c>
      <c r="AO57" s="375">
        <f t="shared" si="16"/>
      </c>
      <c r="AP57" s="379" t="str">
        <f t="shared" si="17"/>
        <v>-</v>
      </c>
      <c r="AQ57" s="375" t="e">
        <f t="shared" si="27"/>
        <v>#VALUE!</v>
      </c>
      <c r="AR57" s="375">
        <f t="shared" si="21"/>
      </c>
    </row>
    <row r="58" spans="1:44" s="380" customFormat="1" ht="13.5" customHeight="1">
      <c r="A58" s="375" t="str">
        <f>IF(ISBLANK(F58)=TRUE," ",IF(ISBLANK('様式2'!$C$23)=TRUE," ",'様式2'!$C$23))</f>
        <v> </v>
      </c>
      <c r="B58" s="375" t="e">
        <f>LOOKUP(LOOKUP(C58,'様式3'!$A$5:$A$44,'様式3'!$C$5:$C$44),'産業分類表'!$D$2:$D$68,'産業分類表'!$E$2:$E$68)</f>
        <v>#N/A</v>
      </c>
      <c r="C58" s="343"/>
      <c r="D58" s="343"/>
      <c r="E58" s="343"/>
      <c r="F58" s="343"/>
      <c r="G58" s="341"/>
      <c r="H58" s="349"/>
      <c r="I58" s="343"/>
      <c r="J58" s="343"/>
      <c r="K58" s="342"/>
      <c r="L58" s="350"/>
      <c r="M58" s="351"/>
      <c r="N58" s="343"/>
      <c r="O58" s="354">
        <f t="shared" si="29"/>
      </c>
      <c r="P58" s="354">
        <f t="shared" si="30"/>
      </c>
      <c r="Q58" s="389"/>
      <c r="R58" s="376">
        <f t="shared" si="25"/>
      </c>
      <c r="S58" s="376">
        <f t="shared" si="26"/>
      </c>
      <c r="T58" s="352"/>
      <c r="U58" s="353"/>
      <c r="V58" s="352"/>
      <c r="W58" s="343"/>
      <c r="X58" s="388">
        <f t="shared" si="18"/>
      </c>
      <c r="Y58" s="375" t="e">
        <f t="shared" si="4"/>
        <v>#N/A</v>
      </c>
      <c r="Z58" s="375" t="e">
        <f t="shared" si="5"/>
        <v>#N/A</v>
      </c>
      <c r="AA58" s="375">
        <f t="shared" si="19"/>
      </c>
      <c r="AB58" s="377">
        <f t="shared" si="6"/>
        <v>1</v>
      </c>
      <c r="AC58" s="375" t="str">
        <f t="shared" si="7"/>
        <v> </v>
      </c>
      <c r="AD58" s="375" t="e">
        <f t="shared" si="8"/>
        <v>#N/A</v>
      </c>
      <c r="AE58" s="375" t="str">
        <f t="shared" si="9"/>
        <v> </v>
      </c>
      <c r="AF58" s="375" t="e">
        <f t="shared" si="10"/>
        <v>#N/A</v>
      </c>
      <c r="AG58" s="378" t="str">
        <f t="shared" si="11"/>
        <v> </v>
      </c>
      <c r="AH58" s="379" t="e">
        <f t="shared" si="28"/>
        <v>#VALUE!</v>
      </c>
      <c r="AI58" s="378" t="e">
        <f t="shared" si="13"/>
        <v>#VALUE!</v>
      </c>
      <c r="AJ58" s="375" t="e">
        <f t="shared" si="22"/>
        <v>#N/A</v>
      </c>
      <c r="AK58" s="375" t="e">
        <f>VLOOKUP(AJ58,'排出係数表'!$A$4:$C$202,2,FALSE)</f>
        <v>#N/A</v>
      </c>
      <c r="AL58" s="375" t="e">
        <f t="shared" si="14"/>
        <v>#N/A</v>
      </c>
      <c r="AM58" s="375" t="e">
        <f>VLOOKUP(AJ58,'排出係数表'!$A$4:$C$202,3,FALSE)</f>
        <v>#N/A</v>
      </c>
      <c r="AN58" s="375" t="e">
        <f t="shared" si="15"/>
        <v>#N/A</v>
      </c>
      <c r="AO58" s="375">
        <f t="shared" si="16"/>
      </c>
      <c r="AP58" s="379" t="str">
        <f t="shared" si="17"/>
        <v>-</v>
      </c>
      <c r="AQ58" s="375" t="e">
        <f t="shared" si="27"/>
        <v>#VALUE!</v>
      </c>
      <c r="AR58" s="375">
        <f t="shared" si="21"/>
      </c>
    </row>
    <row r="59" spans="1:44" s="380" customFormat="1" ht="13.5" customHeight="1">
      <c r="A59" s="375" t="str">
        <f>IF(ISBLANK(F59)=TRUE," ",IF(ISBLANK('様式2'!$C$23)=TRUE," ",'様式2'!$C$23))</f>
        <v> </v>
      </c>
      <c r="B59" s="375" t="e">
        <f>LOOKUP(LOOKUP(C59,'様式3'!$A$5:$A$44,'様式3'!$C$5:$C$44),'産業分類表'!$D$2:$D$68,'産業分類表'!$E$2:$E$68)</f>
        <v>#N/A</v>
      </c>
      <c r="C59" s="343"/>
      <c r="D59" s="343"/>
      <c r="E59" s="343"/>
      <c r="F59" s="343"/>
      <c r="G59" s="341"/>
      <c r="H59" s="349"/>
      <c r="I59" s="343"/>
      <c r="J59" s="343"/>
      <c r="K59" s="342"/>
      <c r="L59" s="350"/>
      <c r="M59" s="351"/>
      <c r="N59" s="343"/>
      <c r="O59" s="354">
        <f t="shared" si="29"/>
      </c>
      <c r="P59" s="354">
        <f t="shared" si="30"/>
      </c>
      <c r="Q59" s="389"/>
      <c r="R59" s="376">
        <f t="shared" si="25"/>
      </c>
      <c r="S59" s="376">
        <f t="shared" si="26"/>
      </c>
      <c r="T59" s="352"/>
      <c r="U59" s="353"/>
      <c r="V59" s="352"/>
      <c r="W59" s="343"/>
      <c r="X59" s="388">
        <f t="shared" si="18"/>
      </c>
      <c r="Y59" s="375" t="e">
        <f t="shared" si="4"/>
        <v>#N/A</v>
      </c>
      <c r="Z59" s="375" t="e">
        <f t="shared" si="5"/>
        <v>#N/A</v>
      </c>
      <c r="AA59" s="375">
        <f t="shared" si="19"/>
      </c>
      <c r="AB59" s="377">
        <f t="shared" si="6"/>
        <v>1</v>
      </c>
      <c r="AC59" s="375" t="str">
        <f t="shared" si="7"/>
        <v> </v>
      </c>
      <c r="AD59" s="375" t="e">
        <f t="shared" si="8"/>
        <v>#N/A</v>
      </c>
      <c r="AE59" s="375" t="str">
        <f t="shared" si="9"/>
        <v> </v>
      </c>
      <c r="AF59" s="375" t="e">
        <f t="shared" si="10"/>
        <v>#N/A</v>
      </c>
      <c r="AG59" s="378" t="str">
        <f t="shared" si="11"/>
        <v> </v>
      </c>
      <c r="AH59" s="379" t="e">
        <f t="shared" si="28"/>
        <v>#VALUE!</v>
      </c>
      <c r="AI59" s="378" t="e">
        <f t="shared" si="13"/>
        <v>#VALUE!</v>
      </c>
      <c r="AJ59" s="375" t="e">
        <f t="shared" si="22"/>
        <v>#N/A</v>
      </c>
      <c r="AK59" s="375" t="e">
        <f>VLOOKUP(AJ59,'排出係数表'!$A$4:$C$202,2,FALSE)</f>
        <v>#N/A</v>
      </c>
      <c r="AL59" s="375" t="e">
        <f t="shared" si="14"/>
        <v>#N/A</v>
      </c>
      <c r="AM59" s="375" t="e">
        <f>VLOOKUP(AJ59,'排出係数表'!$A$4:$C$202,3,FALSE)</f>
        <v>#N/A</v>
      </c>
      <c r="AN59" s="375" t="e">
        <f t="shared" si="15"/>
        <v>#N/A</v>
      </c>
      <c r="AO59" s="375">
        <f t="shared" si="16"/>
      </c>
      <c r="AP59" s="379" t="str">
        <f t="shared" si="17"/>
        <v>-</v>
      </c>
      <c r="AQ59" s="375" t="e">
        <f t="shared" si="27"/>
        <v>#VALUE!</v>
      </c>
      <c r="AR59" s="375">
        <f t="shared" si="21"/>
      </c>
    </row>
    <row r="60" spans="1:44" s="380" customFormat="1" ht="13.5" customHeight="1">
      <c r="A60" s="375" t="str">
        <f>IF(ISBLANK(F60)=TRUE," ",IF(ISBLANK('様式2'!$C$23)=TRUE," ",'様式2'!$C$23))</f>
        <v> </v>
      </c>
      <c r="B60" s="375" t="e">
        <f>LOOKUP(LOOKUP(C60,'様式3'!$A$5:$A$44,'様式3'!$C$5:$C$44),'産業分類表'!$D$2:$D$68,'産業分類表'!$E$2:$E$68)</f>
        <v>#N/A</v>
      </c>
      <c r="C60" s="343"/>
      <c r="D60" s="343"/>
      <c r="E60" s="343"/>
      <c r="F60" s="343"/>
      <c r="G60" s="341"/>
      <c r="H60" s="349"/>
      <c r="I60" s="343"/>
      <c r="J60" s="343"/>
      <c r="K60" s="342"/>
      <c r="L60" s="350"/>
      <c r="M60" s="351"/>
      <c r="N60" s="343"/>
      <c r="O60" s="354">
        <f t="shared" si="29"/>
      </c>
      <c r="P60" s="354">
        <f t="shared" si="30"/>
      </c>
      <c r="Q60" s="389"/>
      <c r="R60" s="376">
        <f t="shared" si="25"/>
      </c>
      <c r="S60" s="376">
        <f t="shared" si="26"/>
      </c>
      <c r="T60" s="352"/>
      <c r="U60" s="353"/>
      <c r="V60" s="352"/>
      <c r="W60" s="343"/>
      <c r="X60" s="388">
        <f t="shared" si="18"/>
      </c>
      <c r="Y60" s="375" t="e">
        <f t="shared" si="4"/>
        <v>#N/A</v>
      </c>
      <c r="Z60" s="375" t="e">
        <f t="shared" si="5"/>
        <v>#N/A</v>
      </c>
      <c r="AA60" s="375">
        <f t="shared" si="19"/>
      </c>
      <c r="AB60" s="377">
        <f t="shared" si="6"/>
        <v>1</v>
      </c>
      <c r="AC60" s="375" t="str">
        <f t="shared" si="7"/>
        <v> </v>
      </c>
      <c r="AD60" s="375" t="e">
        <f t="shared" si="8"/>
        <v>#N/A</v>
      </c>
      <c r="AE60" s="375" t="str">
        <f t="shared" si="9"/>
        <v> </v>
      </c>
      <c r="AF60" s="375" t="e">
        <f t="shared" si="10"/>
        <v>#N/A</v>
      </c>
      <c r="AG60" s="378" t="str">
        <f t="shared" si="11"/>
        <v> </v>
      </c>
      <c r="AH60" s="379" t="e">
        <f t="shared" si="28"/>
        <v>#VALUE!</v>
      </c>
      <c r="AI60" s="378" t="e">
        <f t="shared" si="13"/>
        <v>#VALUE!</v>
      </c>
      <c r="AJ60" s="375" t="e">
        <f t="shared" si="22"/>
        <v>#N/A</v>
      </c>
      <c r="AK60" s="375" t="e">
        <f>VLOOKUP(AJ60,'排出係数表'!$A$4:$C$202,2,FALSE)</f>
        <v>#N/A</v>
      </c>
      <c r="AL60" s="375" t="e">
        <f t="shared" si="14"/>
        <v>#N/A</v>
      </c>
      <c r="AM60" s="375" t="e">
        <f>VLOOKUP(AJ60,'排出係数表'!$A$4:$C$202,3,FALSE)</f>
        <v>#N/A</v>
      </c>
      <c r="AN60" s="375" t="e">
        <f t="shared" si="15"/>
        <v>#N/A</v>
      </c>
      <c r="AO60" s="375">
        <f t="shared" si="16"/>
      </c>
      <c r="AP60" s="379" t="str">
        <f t="shared" si="17"/>
        <v>-</v>
      </c>
      <c r="AQ60" s="375" t="e">
        <f t="shared" si="27"/>
        <v>#VALUE!</v>
      </c>
      <c r="AR60" s="375">
        <f t="shared" si="21"/>
      </c>
    </row>
    <row r="61" spans="1:44" s="380" customFormat="1" ht="13.5" customHeight="1">
      <c r="A61" s="375" t="str">
        <f>IF(ISBLANK(F61)=TRUE," ",IF(ISBLANK('様式2'!$C$23)=TRUE," ",'様式2'!$C$23))</f>
        <v> </v>
      </c>
      <c r="B61" s="375" t="e">
        <f>LOOKUP(LOOKUP(C61,'様式3'!$A$5:$A$44,'様式3'!$C$5:$C$44),'産業分類表'!$D$2:$D$68,'産業分類表'!$E$2:$E$68)</f>
        <v>#N/A</v>
      </c>
      <c r="C61" s="343"/>
      <c r="D61" s="343"/>
      <c r="E61" s="343"/>
      <c r="F61" s="343"/>
      <c r="G61" s="341"/>
      <c r="H61" s="349"/>
      <c r="I61" s="343"/>
      <c r="J61" s="343"/>
      <c r="K61" s="342"/>
      <c r="L61" s="350"/>
      <c r="M61" s="351"/>
      <c r="N61" s="343"/>
      <c r="O61" s="354">
        <f t="shared" si="29"/>
      </c>
      <c r="P61" s="354">
        <f t="shared" si="30"/>
      </c>
      <c r="Q61" s="389"/>
      <c r="R61" s="376">
        <f t="shared" si="25"/>
      </c>
      <c r="S61" s="376">
        <f t="shared" si="26"/>
      </c>
      <c r="T61" s="352"/>
      <c r="U61" s="353"/>
      <c r="V61" s="352"/>
      <c r="W61" s="343"/>
      <c r="X61" s="388">
        <f t="shared" si="18"/>
      </c>
      <c r="Y61" s="375" t="e">
        <f t="shared" si="4"/>
        <v>#N/A</v>
      </c>
      <c r="Z61" s="375" t="e">
        <f t="shared" si="5"/>
        <v>#N/A</v>
      </c>
      <c r="AA61" s="375">
        <f t="shared" si="19"/>
      </c>
      <c r="AB61" s="377">
        <f t="shared" si="6"/>
        <v>1</v>
      </c>
      <c r="AC61" s="375" t="str">
        <f t="shared" si="7"/>
        <v> </v>
      </c>
      <c r="AD61" s="375" t="e">
        <f t="shared" si="8"/>
        <v>#N/A</v>
      </c>
      <c r="AE61" s="375" t="str">
        <f t="shared" si="9"/>
        <v> </v>
      </c>
      <c r="AF61" s="375" t="e">
        <f t="shared" si="10"/>
        <v>#N/A</v>
      </c>
      <c r="AG61" s="378" t="str">
        <f t="shared" si="11"/>
        <v> </v>
      </c>
      <c r="AH61" s="379" t="e">
        <f t="shared" si="28"/>
        <v>#VALUE!</v>
      </c>
      <c r="AI61" s="378" t="e">
        <f t="shared" si="13"/>
        <v>#VALUE!</v>
      </c>
      <c r="AJ61" s="375" t="e">
        <f t="shared" si="22"/>
        <v>#N/A</v>
      </c>
      <c r="AK61" s="375" t="e">
        <f>VLOOKUP(AJ61,'排出係数表'!$A$4:$C$202,2,FALSE)</f>
        <v>#N/A</v>
      </c>
      <c r="AL61" s="375" t="e">
        <f t="shared" si="14"/>
        <v>#N/A</v>
      </c>
      <c r="AM61" s="375" t="e">
        <f>VLOOKUP(AJ61,'排出係数表'!$A$4:$C$202,3,FALSE)</f>
        <v>#N/A</v>
      </c>
      <c r="AN61" s="375" t="e">
        <f t="shared" si="15"/>
        <v>#N/A</v>
      </c>
      <c r="AO61" s="375">
        <f t="shared" si="16"/>
      </c>
      <c r="AP61" s="379" t="str">
        <f t="shared" si="17"/>
        <v>-</v>
      </c>
      <c r="AQ61" s="375" t="e">
        <f t="shared" si="27"/>
        <v>#VALUE!</v>
      </c>
      <c r="AR61" s="375">
        <f t="shared" si="21"/>
      </c>
    </row>
    <row r="62" spans="1:44" s="380" customFormat="1" ht="13.5" customHeight="1">
      <c r="A62" s="375" t="str">
        <f>IF(ISBLANK(F62)=TRUE," ",IF(ISBLANK('様式2'!$C$23)=TRUE," ",'様式2'!$C$23))</f>
        <v> </v>
      </c>
      <c r="B62" s="375" t="e">
        <f>LOOKUP(LOOKUP(C62,'様式3'!$A$5:$A$44,'様式3'!$C$5:$C$44),'産業分類表'!$D$2:$D$68,'産業分類表'!$E$2:$E$68)</f>
        <v>#N/A</v>
      </c>
      <c r="C62" s="343"/>
      <c r="D62" s="343"/>
      <c r="E62" s="343"/>
      <c r="F62" s="343"/>
      <c r="G62" s="341"/>
      <c r="H62" s="349"/>
      <c r="I62" s="343"/>
      <c r="J62" s="343"/>
      <c r="K62" s="342"/>
      <c r="L62" s="350"/>
      <c r="M62" s="351"/>
      <c r="N62" s="343"/>
      <c r="O62" s="354">
        <f t="shared" si="29"/>
      </c>
      <c r="P62" s="354">
        <f t="shared" si="30"/>
      </c>
      <c r="Q62" s="389"/>
      <c r="R62" s="376">
        <f t="shared" si="25"/>
      </c>
      <c r="S62" s="376">
        <f t="shared" si="26"/>
      </c>
      <c r="T62" s="352"/>
      <c r="U62" s="353"/>
      <c r="V62" s="352"/>
      <c r="W62" s="343"/>
      <c r="X62" s="388">
        <f t="shared" si="18"/>
      </c>
      <c r="Y62" s="375" t="e">
        <f t="shared" si="4"/>
        <v>#N/A</v>
      </c>
      <c r="Z62" s="375" t="e">
        <f t="shared" si="5"/>
        <v>#N/A</v>
      </c>
      <c r="AA62" s="375">
        <f t="shared" si="19"/>
      </c>
      <c r="AB62" s="377">
        <f t="shared" si="6"/>
        <v>1</v>
      </c>
      <c r="AC62" s="375" t="str">
        <f t="shared" si="7"/>
        <v> </v>
      </c>
      <c r="AD62" s="375" t="e">
        <f t="shared" si="8"/>
        <v>#N/A</v>
      </c>
      <c r="AE62" s="375" t="str">
        <f t="shared" si="9"/>
        <v> </v>
      </c>
      <c r="AF62" s="375" t="e">
        <f t="shared" si="10"/>
        <v>#N/A</v>
      </c>
      <c r="AG62" s="378" t="str">
        <f t="shared" si="11"/>
        <v> </v>
      </c>
      <c r="AH62" s="379" t="e">
        <f t="shared" si="28"/>
        <v>#VALUE!</v>
      </c>
      <c r="AI62" s="378" t="e">
        <f t="shared" si="13"/>
        <v>#VALUE!</v>
      </c>
      <c r="AJ62" s="375" t="e">
        <f t="shared" si="22"/>
        <v>#N/A</v>
      </c>
      <c r="AK62" s="375" t="e">
        <f>VLOOKUP(AJ62,'排出係数表'!$A$4:$C$202,2,FALSE)</f>
        <v>#N/A</v>
      </c>
      <c r="AL62" s="375" t="e">
        <f t="shared" si="14"/>
        <v>#N/A</v>
      </c>
      <c r="AM62" s="375" t="e">
        <f>VLOOKUP(AJ62,'排出係数表'!$A$4:$C$202,3,FALSE)</f>
        <v>#N/A</v>
      </c>
      <c r="AN62" s="375" t="e">
        <f t="shared" si="15"/>
        <v>#N/A</v>
      </c>
      <c r="AO62" s="375">
        <f t="shared" si="16"/>
      </c>
      <c r="AP62" s="379" t="str">
        <f t="shared" si="17"/>
        <v>-</v>
      </c>
      <c r="AQ62" s="375" t="e">
        <f t="shared" si="27"/>
        <v>#VALUE!</v>
      </c>
      <c r="AR62" s="375">
        <f t="shared" si="21"/>
      </c>
    </row>
    <row r="63" spans="1:44" s="380" customFormat="1" ht="13.5" customHeight="1">
      <c r="A63" s="375" t="str">
        <f>IF(ISBLANK(F63)=TRUE," ",IF(ISBLANK('様式2'!$C$23)=TRUE," ",'様式2'!$C$23))</f>
        <v> </v>
      </c>
      <c r="B63" s="375" t="e">
        <f>LOOKUP(LOOKUP(C63,'様式3'!$A$5:$A$44,'様式3'!$C$5:$C$44),'産業分類表'!$D$2:$D$68,'産業分類表'!$E$2:$E$68)</f>
        <v>#N/A</v>
      </c>
      <c r="C63" s="343"/>
      <c r="D63" s="343"/>
      <c r="E63" s="343"/>
      <c r="F63" s="343"/>
      <c r="G63" s="341"/>
      <c r="H63" s="349"/>
      <c r="I63" s="343"/>
      <c r="J63" s="343"/>
      <c r="K63" s="342"/>
      <c r="L63" s="350"/>
      <c r="M63" s="351"/>
      <c r="N63" s="343"/>
      <c r="O63" s="354">
        <f t="shared" si="29"/>
      </c>
      <c r="P63" s="354">
        <f t="shared" si="30"/>
      </c>
      <c r="Q63" s="389"/>
      <c r="R63" s="376">
        <f t="shared" si="25"/>
      </c>
      <c r="S63" s="376">
        <f t="shared" si="26"/>
      </c>
      <c r="T63" s="352"/>
      <c r="U63" s="353"/>
      <c r="V63" s="352"/>
      <c r="W63" s="343"/>
      <c r="X63" s="388">
        <f t="shared" si="18"/>
      </c>
      <c r="Y63" s="375" t="e">
        <f t="shared" si="4"/>
        <v>#N/A</v>
      </c>
      <c r="Z63" s="375" t="e">
        <f t="shared" si="5"/>
        <v>#N/A</v>
      </c>
      <c r="AA63" s="375">
        <f t="shared" si="19"/>
      </c>
      <c r="AB63" s="377">
        <f t="shared" si="6"/>
        <v>1</v>
      </c>
      <c r="AC63" s="375" t="str">
        <f t="shared" si="7"/>
        <v> </v>
      </c>
      <c r="AD63" s="375" t="e">
        <f t="shared" si="8"/>
        <v>#N/A</v>
      </c>
      <c r="AE63" s="375" t="str">
        <f t="shared" si="9"/>
        <v> </v>
      </c>
      <c r="AF63" s="375" t="e">
        <f t="shared" si="10"/>
        <v>#N/A</v>
      </c>
      <c r="AG63" s="378" t="str">
        <f t="shared" si="11"/>
        <v> </v>
      </c>
      <c r="AH63" s="379" t="e">
        <f t="shared" si="28"/>
        <v>#VALUE!</v>
      </c>
      <c r="AI63" s="378" t="e">
        <f t="shared" si="13"/>
        <v>#VALUE!</v>
      </c>
      <c r="AJ63" s="375" t="e">
        <f t="shared" si="22"/>
        <v>#N/A</v>
      </c>
      <c r="AK63" s="375" t="e">
        <f>VLOOKUP(AJ63,'排出係数表'!$A$4:$C$202,2,FALSE)</f>
        <v>#N/A</v>
      </c>
      <c r="AL63" s="375" t="e">
        <f t="shared" si="14"/>
        <v>#N/A</v>
      </c>
      <c r="AM63" s="375" t="e">
        <f>VLOOKUP(AJ63,'排出係数表'!$A$4:$C$202,3,FALSE)</f>
        <v>#N/A</v>
      </c>
      <c r="AN63" s="375" t="e">
        <f t="shared" si="15"/>
        <v>#N/A</v>
      </c>
      <c r="AO63" s="375">
        <f t="shared" si="16"/>
      </c>
      <c r="AP63" s="379" t="str">
        <f t="shared" si="17"/>
        <v>-</v>
      </c>
      <c r="AQ63" s="375" t="e">
        <f t="shared" si="27"/>
        <v>#VALUE!</v>
      </c>
      <c r="AR63" s="375">
        <f t="shared" si="21"/>
      </c>
    </row>
    <row r="64" spans="1:44" s="380" customFormat="1" ht="13.5" customHeight="1">
      <c r="A64" s="375" t="str">
        <f>IF(ISBLANK(F64)=TRUE," ",IF(ISBLANK('様式2'!$C$23)=TRUE," ",'様式2'!$C$23))</f>
        <v> </v>
      </c>
      <c r="B64" s="375" t="e">
        <f>LOOKUP(LOOKUP(C64,'様式3'!$A$5:$A$44,'様式3'!$C$5:$C$44),'産業分類表'!$D$2:$D$68,'産業分類表'!$E$2:$E$68)</f>
        <v>#N/A</v>
      </c>
      <c r="C64" s="343"/>
      <c r="D64" s="343"/>
      <c r="E64" s="343"/>
      <c r="F64" s="343"/>
      <c r="G64" s="341"/>
      <c r="H64" s="349"/>
      <c r="I64" s="343"/>
      <c r="J64" s="343"/>
      <c r="K64" s="342"/>
      <c r="L64" s="350"/>
      <c r="M64" s="351"/>
      <c r="N64" s="343"/>
      <c r="O64" s="354">
        <f t="shared" si="29"/>
      </c>
      <c r="P64" s="354">
        <f t="shared" si="30"/>
      </c>
      <c r="Q64" s="389"/>
      <c r="R64" s="376">
        <f t="shared" si="25"/>
      </c>
      <c r="S64" s="376">
        <f t="shared" si="26"/>
      </c>
      <c r="T64" s="352"/>
      <c r="U64" s="353"/>
      <c r="V64" s="352"/>
      <c r="W64" s="343"/>
      <c r="X64" s="388">
        <f t="shared" si="18"/>
      </c>
      <c r="Y64" s="375" t="e">
        <f t="shared" si="4"/>
        <v>#N/A</v>
      </c>
      <c r="Z64" s="375" t="e">
        <f t="shared" si="5"/>
        <v>#N/A</v>
      </c>
      <c r="AA64" s="375">
        <f t="shared" si="19"/>
      </c>
      <c r="AB64" s="377">
        <f t="shared" si="6"/>
        <v>1</v>
      </c>
      <c r="AC64" s="375" t="str">
        <f t="shared" si="7"/>
        <v> </v>
      </c>
      <c r="AD64" s="375" t="e">
        <f t="shared" si="8"/>
        <v>#N/A</v>
      </c>
      <c r="AE64" s="375" t="str">
        <f t="shared" si="9"/>
        <v> </v>
      </c>
      <c r="AF64" s="375" t="e">
        <f t="shared" si="10"/>
        <v>#N/A</v>
      </c>
      <c r="AG64" s="378" t="str">
        <f t="shared" si="11"/>
        <v> </v>
      </c>
      <c r="AH64" s="379" t="e">
        <f t="shared" si="28"/>
        <v>#VALUE!</v>
      </c>
      <c r="AI64" s="378" t="e">
        <f t="shared" si="13"/>
        <v>#VALUE!</v>
      </c>
      <c r="AJ64" s="375" t="e">
        <f t="shared" si="22"/>
        <v>#N/A</v>
      </c>
      <c r="AK64" s="375" t="e">
        <f>VLOOKUP(AJ64,'排出係数表'!$A$4:$C$202,2,FALSE)</f>
        <v>#N/A</v>
      </c>
      <c r="AL64" s="375" t="e">
        <f t="shared" si="14"/>
        <v>#N/A</v>
      </c>
      <c r="AM64" s="375" t="e">
        <f>VLOOKUP(AJ64,'排出係数表'!$A$4:$C$202,3,FALSE)</f>
        <v>#N/A</v>
      </c>
      <c r="AN64" s="375" t="e">
        <f t="shared" si="15"/>
        <v>#N/A</v>
      </c>
      <c r="AO64" s="375">
        <f t="shared" si="16"/>
      </c>
      <c r="AP64" s="379" t="str">
        <f t="shared" si="17"/>
        <v>-</v>
      </c>
      <c r="AQ64" s="375" t="e">
        <f t="shared" si="27"/>
        <v>#VALUE!</v>
      </c>
      <c r="AR64" s="375">
        <f t="shared" si="21"/>
      </c>
    </row>
    <row r="65" spans="1:44" s="380" customFormat="1" ht="13.5" customHeight="1">
      <c r="A65" s="375" t="str">
        <f>IF(ISBLANK(F65)=TRUE," ",IF(ISBLANK('様式2'!$C$23)=TRUE," ",'様式2'!$C$23))</f>
        <v> </v>
      </c>
      <c r="B65" s="375" t="e">
        <f>LOOKUP(LOOKUP(C65,'様式3'!$A$5:$A$44,'様式3'!$C$5:$C$44),'産業分類表'!$D$2:$D$68,'産業分類表'!$E$2:$E$68)</f>
        <v>#N/A</v>
      </c>
      <c r="C65" s="343"/>
      <c r="D65" s="343"/>
      <c r="E65" s="343"/>
      <c r="F65" s="343"/>
      <c r="G65" s="341"/>
      <c r="H65" s="349"/>
      <c r="I65" s="343"/>
      <c r="J65" s="343"/>
      <c r="K65" s="342"/>
      <c r="L65" s="350"/>
      <c r="M65" s="351"/>
      <c r="N65" s="343"/>
      <c r="O65" s="354">
        <f t="shared" si="29"/>
      </c>
      <c r="P65" s="354">
        <f t="shared" si="30"/>
      </c>
      <c r="Q65" s="389"/>
      <c r="R65" s="376">
        <f t="shared" si="25"/>
      </c>
      <c r="S65" s="376">
        <f t="shared" si="26"/>
      </c>
      <c r="T65" s="352"/>
      <c r="U65" s="353"/>
      <c r="V65" s="352"/>
      <c r="W65" s="343"/>
      <c r="X65" s="388">
        <f t="shared" si="18"/>
      </c>
      <c r="Y65" s="375" t="e">
        <f t="shared" si="4"/>
        <v>#N/A</v>
      </c>
      <c r="Z65" s="375" t="e">
        <f t="shared" si="5"/>
        <v>#N/A</v>
      </c>
      <c r="AA65" s="375">
        <f t="shared" si="19"/>
      </c>
      <c r="AB65" s="377">
        <f t="shared" si="6"/>
        <v>1</v>
      </c>
      <c r="AC65" s="375" t="str">
        <f t="shared" si="7"/>
        <v> </v>
      </c>
      <c r="AD65" s="375" t="e">
        <f t="shared" si="8"/>
        <v>#N/A</v>
      </c>
      <c r="AE65" s="375" t="str">
        <f t="shared" si="9"/>
        <v> </v>
      </c>
      <c r="AF65" s="375" t="e">
        <f t="shared" si="10"/>
        <v>#N/A</v>
      </c>
      <c r="AG65" s="378" t="str">
        <f t="shared" si="11"/>
        <v> </v>
      </c>
      <c r="AH65" s="379" t="e">
        <f t="shared" si="28"/>
        <v>#VALUE!</v>
      </c>
      <c r="AI65" s="378" t="e">
        <f t="shared" si="13"/>
        <v>#VALUE!</v>
      </c>
      <c r="AJ65" s="375" t="e">
        <f t="shared" si="22"/>
        <v>#N/A</v>
      </c>
      <c r="AK65" s="375" t="e">
        <f>VLOOKUP(AJ65,'排出係数表'!$A$4:$C$202,2,FALSE)</f>
        <v>#N/A</v>
      </c>
      <c r="AL65" s="375" t="e">
        <f t="shared" si="14"/>
        <v>#N/A</v>
      </c>
      <c r="AM65" s="375" t="e">
        <f>VLOOKUP(AJ65,'排出係数表'!$A$4:$C$202,3,FALSE)</f>
        <v>#N/A</v>
      </c>
      <c r="AN65" s="375" t="e">
        <f t="shared" si="15"/>
        <v>#N/A</v>
      </c>
      <c r="AO65" s="375">
        <f t="shared" si="16"/>
      </c>
      <c r="AP65" s="379" t="str">
        <f t="shared" si="17"/>
        <v>-</v>
      </c>
      <c r="AQ65" s="375" t="e">
        <f t="shared" si="27"/>
        <v>#VALUE!</v>
      </c>
      <c r="AR65" s="375">
        <f t="shared" si="21"/>
      </c>
    </row>
    <row r="66" spans="1:44" s="380" customFormat="1" ht="13.5" customHeight="1">
      <c r="A66" s="375" t="str">
        <f>IF(ISBLANK(F66)=TRUE," ",IF(ISBLANK('様式2'!$C$23)=TRUE," ",'様式2'!$C$23))</f>
        <v> </v>
      </c>
      <c r="B66" s="375" t="e">
        <f>LOOKUP(LOOKUP(C66,'様式3'!$A$5:$A$44,'様式3'!$C$5:$C$44),'産業分類表'!$D$2:$D$68,'産業分類表'!$E$2:$E$68)</f>
        <v>#N/A</v>
      </c>
      <c r="C66" s="343"/>
      <c r="D66" s="343"/>
      <c r="E66" s="343"/>
      <c r="F66" s="343"/>
      <c r="G66" s="341"/>
      <c r="H66" s="349"/>
      <c r="I66" s="343"/>
      <c r="J66" s="343"/>
      <c r="K66" s="342"/>
      <c r="L66" s="350"/>
      <c r="M66" s="351"/>
      <c r="N66" s="343"/>
      <c r="O66" s="354">
        <f t="shared" si="29"/>
      </c>
      <c r="P66" s="354">
        <f t="shared" si="30"/>
      </c>
      <c r="Q66" s="389"/>
      <c r="R66" s="376">
        <f t="shared" si="25"/>
      </c>
      <c r="S66" s="376">
        <f t="shared" si="26"/>
      </c>
      <c r="T66" s="352"/>
      <c r="U66" s="353"/>
      <c r="V66" s="352"/>
      <c r="W66" s="343"/>
      <c r="X66" s="388">
        <f t="shared" si="18"/>
      </c>
      <c r="Y66" s="375" t="e">
        <f t="shared" si="4"/>
        <v>#N/A</v>
      </c>
      <c r="Z66" s="375" t="e">
        <f t="shared" si="5"/>
        <v>#N/A</v>
      </c>
      <c r="AA66" s="375">
        <f t="shared" si="19"/>
      </c>
      <c r="AB66" s="377">
        <f t="shared" si="6"/>
        <v>1</v>
      </c>
      <c r="AC66" s="375" t="str">
        <f t="shared" si="7"/>
        <v> </v>
      </c>
      <c r="AD66" s="375" t="e">
        <f t="shared" si="8"/>
        <v>#N/A</v>
      </c>
      <c r="AE66" s="375" t="str">
        <f t="shared" si="9"/>
        <v> </v>
      </c>
      <c r="AF66" s="375" t="e">
        <f t="shared" si="10"/>
        <v>#N/A</v>
      </c>
      <c r="AG66" s="378" t="str">
        <f t="shared" si="11"/>
        <v> </v>
      </c>
      <c r="AH66" s="379" t="e">
        <f t="shared" si="28"/>
        <v>#VALUE!</v>
      </c>
      <c r="AI66" s="378" t="e">
        <f t="shared" si="13"/>
        <v>#VALUE!</v>
      </c>
      <c r="AJ66" s="375" t="e">
        <f t="shared" si="22"/>
        <v>#N/A</v>
      </c>
      <c r="AK66" s="375" t="e">
        <f>VLOOKUP(AJ66,'排出係数表'!$A$4:$C$202,2,FALSE)</f>
        <v>#N/A</v>
      </c>
      <c r="AL66" s="375" t="e">
        <f t="shared" si="14"/>
        <v>#N/A</v>
      </c>
      <c r="AM66" s="375" t="e">
        <f>VLOOKUP(AJ66,'排出係数表'!$A$4:$C$202,3,FALSE)</f>
        <v>#N/A</v>
      </c>
      <c r="AN66" s="375" t="e">
        <f t="shared" si="15"/>
        <v>#N/A</v>
      </c>
      <c r="AO66" s="375">
        <f t="shared" si="16"/>
      </c>
      <c r="AP66" s="379" t="str">
        <f t="shared" si="17"/>
        <v>-</v>
      </c>
      <c r="AQ66" s="375" t="e">
        <f t="shared" si="27"/>
        <v>#VALUE!</v>
      </c>
      <c r="AR66" s="375">
        <f t="shared" si="21"/>
      </c>
    </row>
    <row r="67" spans="1:44" s="380" customFormat="1" ht="13.5" customHeight="1">
      <c r="A67" s="375" t="str">
        <f>IF(ISBLANK(F67)=TRUE," ",IF(ISBLANK('様式2'!$C$23)=TRUE," ",'様式2'!$C$23))</f>
        <v> </v>
      </c>
      <c r="B67" s="375" t="e">
        <f>LOOKUP(LOOKUP(C67,'様式3'!$A$5:$A$44,'様式3'!$C$5:$C$44),'産業分類表'!$D$2:$D$68,'産業分類表'!$E$2:$E$68)</f>
        <v>#N/A</v>
      </c>
      <c r="C67" s="343"/>
      <c r="D67" s="343"/>
      <c r="E67" s="343"/>
      <c r="F67" s="343"/>
      <c r="G67" s="341"/>
      <c r="H67" s="349"/>
      <c r="I67" s="343"/>
      <c r="J67" s="343"/>
      <c r="K67" s="342"/>
      <c r="L67" s="350"/>
      <c r="M67" s="351"/>
      <c r="N67" s="343"/>
      <c r="O67" s="354">
        <f t="shared" si="29"/>
      </c>
      <c r="P67" s="354">
        <f t="shared" si="30"/>
      </c>
      <c r="Q67" s="389"/>
      <c r="R67" s="376">
        <f t="shared" si="25"/>
      </c>
      <c r="S67" s="376">
        <f t="shared" si="26"/>
      </c>
      <c r="T67" s="352"/>
      <c r="U67" s="353"/>
      <c r="V67" s="352"/>
      <c r="W67" s="343"/>
      <c r="X67" s="388">
        <f t="shared" si="18"/>
      </c>
      <c r="Y67" s="375" t="e">
        <f t="shared" si="4"/>
        <v>#N/A</v>
      </c>
      <c r="Z67" s="375" t="e">
        <f t="shared" si="5"/>
        <v>#N/A</v>
      </c>
      <c r="AA67" s="375">
        <f t="shared" si="19"/>
      </c>
      <c r="AB67" s="377">
        <f t="shared" si="6"/>
        <v>1</v>
      </c>
      <c r="AC67" s="375" t="str">
        <f t="shared" si="7"/>
        <v> </v>
      </c>
      <c r="AD67" s="375" t="e">
        <f t="shared" si="8"/>
        <v>#N/A</v>
      </c>
      <c r="AE67" s="375" t="str">
        <f t="shared" si="9"/>
        <v> </v>
      </c>
      <c r="AF67" s="375" t="e">
        <f t="shared" si="10"/>
        <v>#N/A</v>
      </c>
      <c r="AG67" s="378" t="str">
        <f t="shared" si="11"/>
        <v> </v>
      </c>
      <c r="AH67" s="379" t="e">
        <f t="shared" si="28"/>
        <v>#VALUE!</v>
      </c>
      <c r="AI67" s="378" t="e">
        <f t="shared" si="13"/>
        <v>#VALUE!</v>
      </c>
      <c r="AJ67" s="375" t="e">
        <f t="shared" si="22"/>
        <v>#N/A</v>
      </c>
      <c r="AK67" s="375" t="e">
        <f>VLOOKUP(AJ67,'排出係数表'!$A$4:$C$202,2,FALSE)</f>
        <v>#N/A</v>
      </c>
      <c r="AL67" s="375" t="e">
        <f t="shared" si="14"/>
        <v>#N/A</v>
      </c>
      <c r="AM67" s="375" t="e">
        <f>VLOOKUP(AJ67,'排出係数表'!$A$4:$C$202,3,FALSE)</f>
        <v>#N/A</v>
      </c>
      <c r="AN67" s="375" t="e">
        <f t="shared" si="15"/>
        <v>#N/A</v>
      </c>
      <c r="AO67" s="375">
        <f t="shared" si="16"/>
      </c>
      <c r="AP67" s="379" t="str">
        <f t="shared" si="17"/>
        <v>-</v>
      </c>
      <c r="AQ67" s="375" t="e">
        <f t="shared" si="27"/>
        <v>#VALUE!</v>
      </c>
      <c r="AR67" s="375">
        <f t="shared" si="21"/>
      </c>
    </row>
    <row r="68" spans="1:44" s="380" customFormat="1" ht="13.5" customHeight="1">
      <c r="A68" s="375" t="str">
        <f>IF(ISBLANK(F68)=TRUE," ",IF(ISBLANK('様式2'!$C$23)=TRUE," ",'様式2'!$C$23))</f>
        <v> </v>
      </c>
      <c r="B68" s="375" t="e">
        <f>LOOKUP(LOOKUP(C68,'様式3'!$A$5:$A$44,'様式3'!$C$5:$C$44),'産業分類表'!$D$2:$D$68,'産業分類表'!$E$2:$E$68)</f>
        <v>#N/A</v>
      </c>
      <c r="C68" s="343"/>
      <c r="D68" s="343"/>
      <c r="E68" s="343"/>
      <c r="F68" s="343"/>
      <c r="G68" s="341"/>
      <c r="H68" s="349"/>
      <c r="I68" s="343"/>
      <c r="J68" s="343"/>
      <c r="K68" s="342"/>
      <c r="L68" s="350"/>
      <c r="M68" s="351"/>
      <c r="N68" s="343"/>
      <c r="O68" s="354">
        <f t="shared" si="29"/>
      </c>
      <c r="P68" s="354">
        <f t="shared" si="30"/>
      </c>
      <c r="Q68" s="389"/>
      <c r="R68" s="376">
        <f t="shared" si="25"/>
      </c>
      <c r="S68" s="376">
        <f t="shared" si="26"/>
      </c>
      <c r="T68" s="352"/>
      <c r="U68" s="353"/>
      <c r="V68" s="352"/>
      <c r="W68" s="343"/>
      <c r="X68" s="388">
        <f t="shared" si="18"/>
      </c>
      <c r="Y68" s="375" t="e">
        <f aca="true" t="shared" si="31" ref="Y68:Y131">LOOKUP(F68,種類,$L$306:$L$313)</f>
        <v>#N/A</v>
      </c>
      <c r="Z68" s="375" t="e">
        <f aca="true" t="shared" si="32" ref="Z68:Z131">LOOKUP(F68,種類,$M$306:$M$313)</f>
        <v>#N/A</v>
      </c>
      <c r="AA68" s="375">
        <f t="shared" si="19"/>
      </c>
      <c r="AB68" s="377">
        <f aca="true" t="shared" si="33" ref="AB68:AB103">IF(I68&gt;3500,I68/1000,1)</f>
        <v>1</v>
      </c>
      <c r="AC68" s="375" t="str">
        <f aca="true" t="shared" si="34" ref="AC68:AC103">IF(ISBLANK(F68)=TRUE," ",IF(LEFT(F68,1)="4",0,IF(I68&lt;=1700,1,IF(I68&lt;=2500,2,IF(I68&lt;=3500,3,4)))))</f>
        <v> </v>
      </c>
      <c r="AD68" s="375" t="e">
        <f aca="true" t="shared" si="35" ref="AD68:AD103">IF(Z68="乗",0,IF(LEFT(F68,1)="4",0,IF(I68&lt;=1700,1,IF(I68&lt;=2500,2,IF(I68&lt;=3500,3,4)))))</f>
        <v>#N/A</v>
      </c>
      <c r="AE68" s="375" t="str">
        <f aca="true" t="shared" si="36" ref="AE68:AE103">IF(ISBLANK(J68)=TRUE," ",IF(LEFT(F68,1)="1",IF(I68&lt;=3500,1,IF(I68&lt;=5000,2,3)),IF(LEFT(F68,1)="6",IF(I68&lt;=3500,1,IF(I68&lt;=5000,2,3)),"")))</f>
        <v> </v>
      </c>
      <c r="AF68" s="375" t="e">
        <f aca="true" t="shared" si="37" ref="AF68:AF131">LOOKUP(J68,燃料,$L$320:$L$335)</f>
        <v>#N/A</v>
      </c>
      <c r="AG68" s="378" t="str">
        <f aca="true" t="shared" si="38" ref="AG68:AG103">IF(ISBLANK(J68)=TRUE," ",CONCATENATE(C68,LEFT(F68,1),AC68))</f>
        <v> </v>
      </c>
      <c r="AH68" s="379" t="e">
        <f t="shared" si="28"/>
        <v>#VALUE!</v>
      </c>
      <c r="AI68" s="378" t="e">
        <f aca="true" t="shared" si="39" ref="AI68:AI103">CONCATENATE(AH68,Z68,AE68)</f>
        <v>#VALUE!</v>
      </c>
      <c r="AJ68" s="375" t="e">
        <f aca="true" t="shared" si="40" ref="AJ68:AJ103">IF(AF68="電","電",CONCATENATE(Y68,AD68,AF68,AA68))</f>
        <v>#N/A</v>
      </c>
      <c r="AK68" s="375" t="e">
        <f>VLOOKUP(AJ68,'排出係数表'!$A$4:$C$202,2,FALSE)</f>
        <v>#N/A</v>
      </c>
      <c r="AL68" s="375" t="e">
        <f aca="true" t="shared" si="41" ref="AL68:AL131">IF(OR(AND(LEFT(AA68,1)="U",AA68&lt;&gt;"U"),AND(LEFT(AA68,1)="L",AA68&lt;&gt;"L"),AND(LEFT(AA68,1)="T",AA68&lt;&gt;"T")),1,LOOKUP(J68,燃料,$M$320:$M$335))</f>
        <v>#N/A</v>
      </c>
      <c r="AM68" s="375" t="e">
        <f>VLOOKUP(AJ68,'排出係数表'!$A$4:$C$202,3,FALSE)</f>
        <v>#N/A</v>
      </c>
      <c r="AN68" s="375" t="e">
        <f aca="true" t="shared" si="42" ref="AN68:AN131">LOOKUP(J68,燃料,$N$320:$N$335)</f>
        <v>#N/A</v>
      </c>
      <c r="AO68" s="375">
        <f aca="true" t="shared" si="43" ref="AO68:AO103">IF(ISBLANK(T68)=TRUE,"",CONCATENATE(AI68,LEFT(U68,4)))</f>
      </c>
      <c r="AP68" s="379" t="str">
        <f aca="true" t="shared" si="44" ref="AP68:AP103">IF(ISBLANK(T68)=TRUE,"-",LEFT(U68,4)-LEFT(K68,4))</f>
        <v>-</v>
      </c>
      <c r="AQ68" s="375" t="e">
        <f t="shared" si="27"/>
        <v>#VALUE!</v>
      </c>
      <c r="AR68" s="375">
        <f t="shared" si="21"/>
      </c>
    </row>
    <row r="69" spans="1:44" s="380" customFormat="1" ht="13.5" customHeight="1">
      <c r="A69" s="375" t="str">
        <f>IF(ISBLANK(F69)=TRUE," ",IF(ISBLANK('様式2'!$C$23)=TRUE," ",'様式2'!$C$23))</f>
        <v> </v>
      </c>
      <c r="B69" s="375" t="e">
        <f>LOOKUP(LOOKUP(C69,'様式3'!$A$5:$A$44,'様式3'!$C$5:$C$44),'産業分類表'!$D$2:$D$68,'産業分類表'!$E$2:$E$68)</f>
        <v>#N/A</v>
      </c>
      <c r="C69" s="343"/>
      <c r="D69" s="343"/>
      <c r="E69" s="343"/>
      <c r="F69" s="343"/>
      <c r="G69" s="341"/>
      <c r="H69" s="349"/>
      <c r="I69" s="343"/>
      <c r="J69" s="343"/>
      <c r="K69" s="342"/>
      <c r="L69" s="350"/>
      <c r="M69" s="351"/>
      <c r="N69" s="343"/>
      <c r="O69" s="354">
        <f t="shared" si="29"/>
      </c>
      <c r="P69" s="354">
        <f t="shared" si="30"/>
      </c>
      <c r="Q69" s="389"/>
      <c r="R69" s="376">
        <f t="shared" si="25"/>
      </c>
      <c r="S69" s="376">
        <f t="shared" si="26"/>
      </c>
      <c r="T69" s="352"/>
      <c r="U69" s="353"/>
      <c r="V69" s="352"/>
      <c r="W69" s="343"/>
      <c r="X69" s="388">
        <f aca="true" t="shared" si="45" ref="X69:X132">IF(ISBLANK(F69)=TRUE,"",IF(OR(ISBLANK(C69)=TRUE,ISBLANK(D69)=TRUE),1,""))</f>
      </c>
      <c r="Y69" s="375" t="e">
        <f t="shared" si="31"/>
        <v>#N/A</v>
      </c>
      <c r="Z69" s="375" t="e">
        <f t="shared" si="32"/>
        <v>#N/A</v>
      </c>
      <c r="AA69" s="375">
        <f aca="true" t="shared" si="46" ref="AA69:AA132">IF(ISERROR(SEARCH("-",G69,1))=TRUE,ASC(UPPER(G69)),ASC(UPPER(LEFT(G69,SEARCH("-",G69,1)-1))))</f>
      </c>
      <c r="AB69" s="377">
        <f t="shared" si="33"/>
        <v>1</v>
      </c>
      <c r="AC69" s="375" t="str">
        <f t="shared" si="34"/>
        <v> </v>
      </c>
      <c r="AD69" s="375" t="e">
        <f t="shared" si="35"/>
        <v>#N/A</v>
      </c>
      <c r="AE69" s="375" t="str">
        <f t="shared" si="36"/>
        <v> </v>
      </c>
      <c r="AF69" s="375" t="e">
        <f t="shared" si="37"/>
        <v>#N/A</v>
      </c>
      <c r="AG69" s="378" t="str">
        <f t="shared" si="38"/>
        <v> </v>
      </c>
      <c r="AH69" s="379" t="e">
        <f t="shared" si="28"/>
        <v>#VALUE!</v>
      </c>
      <c r="AI69" s="378" t="e">
        <f t="shared" si="39"/>
        <v>#VALUE!</v>
      </c>
      <c r="AJ69" s="375" t="e">
        <f t="shared" si="40"/>
        <v>#N/A</v>
      </c>
      <c r="AK69" s="375" t="e">
        <f>VLOOKUP(AJ69,'排出係数表'!$A$4:$C$202,2,FALSE)</f>
        <v>#N/A</v>
      </c>
      <c r="AL69" s="375" t="e">
        <f t="shared" si="41"/>
        <v>#N/A</v>
      </c>
      <c r="AM69" s="375" t="e">
        <f>VLOOKUP(AJ69,'排出係数表'!$A$4:$C$202,3,FALSE)</f>
        <v>#N/A</v>
      </c>
      <c r="AN69" s="375" t="e">
        <f t="shared" si="42"/>
        <v>#N/A</v>
      </c>
      <c r="AO69" s="375">
        <f t="shared" si="43"/>
      </c>
      <c r="AP69" s="379" t="str">
        <f t="shared" si="44"/>
        <v>-</v>
      </c>
      <c r="AQ69" s="375" t="e">
        <f t="shared" si="27"/>
        <v>#VALUE!</v>
      </c>
      <c r="AR69" s="375">
        <f aca="true" t="shared" si="47" ref="AR69:AR132">IF(ISBLANK(T69)=TRUE,"",AQ69&amp;LEFT(U69,4))</f>
      </c>
    </row>
    <row r="70" spans="1:44" s="380" customFormat="1" ht="13.5" customHeight="1">
      <c r="A70" s="375" t="str">
        <f>IF(ISBLANK(F70)=TRUE," ",IF(ISBLANK('様式2'!$C$23)=TRUE," ",'様式2'!$C$23))</f>
        <v> </v>
      </c>
      <c r="B70" s="375" t="e">
        <f>LOOKUP(LOOKUP(C70,'様式3'!$A$5:$A$44,'様式3'!$C$5:$C$44),'産業分類表'!$D$2:$D$68,'産業分類表'!$E$2:$E$68)</f>
        <v>#N/A</v>
      </c>
      <c r="C70" s="343"/>
      <c r="D70" s="343"/>
      <c r="E70" s="343"/>
      <c r="F70" s="343"/>
      <c r="G70" s="341"/>
      <c r="H70" s="349"/>
      <c r="I70" s="343"/>
      <c r="J70" s="343"/>
      <c r="K70" s="342"/>
      <c r="L70" s="350"/>
      <c r="M70" s="351"/>
      <c r="N70" s="343"/>
      <c r="O70" s="354">
        <f t="shared" si="29"/>
      </c>
      <c r="P70" s="354">
        <f t="shared" si="30"/>
      </c>
      <c r="Q70" s="389"/>
      <c r="R70" s="376">
        <f t="shared" si="25"/>
      </c>
      <c r="S70" s="376">
        <f t="shared" si="26"/>
      </c>
      <c r="T70" s="352"/>
      <c r="U70" s="353"/>
      <c r="V70" s="352"/>
      <c r="W70" s="343"/>
      <c r="X70" s="388">
        <f t="shared" si="45"/>
      </c>
      <c r="Y70" s="375" t="e">
        <f t="shared" si="31"/>
        <v>#N/A</v>
      </c>
      <c r="Z70" s="375" t="e">
        <f t="shared" si="32"/>
        <v>#N/A</v>
      </c>
      <c r="AA70" s="375">
        <f t="shared" si="46"/>
      </c>
      <c r="AB70" s="377">
        <f t="shared" si="33"/>
        <v>1</v>
      </c>
      <c r="AC70" s="375" t="str">
        <f t="shared" si="34"/>
        <v> </v>
      </c>
      <c r="AD70" s="375" t="e">
        <f t="shared" si="35"/>
        <v>#N/A</v>
      </c>
      <c r="AE70" s="375" t="str">
        <f t="shared" si="36"/>
        <v> </v>
      </c>
      <c r="AF70" s="375" t="e">
        <f t="shared" si="37"/>
        <v>#N/A</v>
      </c>
      <c r="AG70" s="378" t="str">
        <f t="shared" si="38"/>
        <v> </v>
      </c>
      <c r="AH70" s="379" t="e">
        <f t="shared" si="28"/>
        <v>#VALUE!</v>
      </c>
      <c r="AI70" s="378" t="e">
        <f t="shared" si="39"/>
        <v>#VALUE!</v>
      </c>
      <c r="AJ70" s="375" t="e">
        <f t="shared" si="40"/>
        <v>#N/A</v>
      </c>
      <c r="AK70" s="375" t="e">
        <f>VLOOKUP(AJ70,'排出係数表'!$A$4:$C$202,2,FALSE)</f>
        <v>#N/A</v>
      </c>
      <c r="AL70" s="375" t="e">
        <f t="shared" si="41"/>
        <v>#N/A</v>
      </c>
      <c r="AM70" s="375" t="e">
        <f>VLOOKUP(AJ70,'排出係数表'!$A$4:$C$202,3,FALSE)</f>
        <v>#N/A</v>
      </c>
      <c r="AN70" s="375" t="e">
        <f t="shared" si="42"/>
        <v>#N/A</v>
      </c>
      <c r="AO70" s="375">
        <f t="shared" si="43"/>
      </c>
      <c r="AP70" s="379" t="str">
        <f t="shared" si="44"/>
        <v>-</v>
      </c>
      <c r="AQ70" s="375" t="e">
        <f t="shared" si="27"/>
        <v>#VALUE!</v>
      </c>
      <c r="AR70" s="375">
        <f t="shared" si="47"/>
      </c>
    </row>
    <row r="71" spans="1:44" s="380" customFormat="1" ht="13.5" customHeight="1">
      <c r="A71" s="375" t="str">
        <f>IF(ISBLANK(F71)=TRUE," ",IF(ISBLANK('様式2'!$C$23)=TRUE," ",'様式2'!$C$23))</f>
        <v> </v>
      </c>
      <c r="B71" s="375" t="e">
        <f>LOOKUP(LOOKUP(C71,'様式3'!$A$5:$A$44,'様式3'!$C$5:$C$44),'産業分類表'!$D$2:$D$68,'産業分類表'!$E$2:$E$68)</f>
        <v>#N/A</v>
      </c>
      <c r="C71" s="343"/>
      <c r="D71" s="343"/>
      <c r="E71" s="343"/>
      <c r="F71" s="343"/>
      <c r="G71" s="341"/>
      <c r="H71" s="349"/>
      <c r="I71" s="343"/>
      <c r="J71" s="343"/>
      <c r="K71" s="342"/>
      <c r="L71" s="350"/>
      <c r="M71" s="351"/>
      <c r="N71" s="343"/>
      <c r="O71" s="354">
        <f t="shared" si="29"/>
      </c>
      <c r="P71" s="354">
        <f t="shared" si="30"/>
      </c>
      <c r="Q71" s="389"/>
      <c r="R71" s="376">
        <f t="shared" si="25"/>
      </c>
      <c r="S71" s="376">
        <f t="shared" si="26"/>
      </c>
      <c r="T71" s="352"/>
      <c r="U71" s="353"/>
      <c r="V71" s="352"/>
      <c r="W71" s="343"/>
      <c r="X71" s="388">
        <f t="shared" si="45"/>
      </c>
      <c r="Y71" s="375" t="e">
        <f t="shared" si="31"/>
        <v>#N/A</v>
      </c>
      <c r="Z71" s="375" t="e">
        <f t="shared" si="32"/>
        <v>#N/A</v>
      </c>
      <c r="AA71" s="375">
        <f t="shared" si="46"/>
      </c>
      <c r="AB71" s="377">
        <f t="shared" si="33"/>
        <v>1</v>
      </c>
      <c r="AC71" s="375" t="str">
        <f t="shared" si="34"/>
        <v> </v>
      </c>
      <c r="AD71" s="375" t="e">
        <f t="shared" si="35"/>
        <v>#N/A</v>
      </c>
      <c r="AE71" s="375" t="str">
        <f t="shared" si="36"/>
        <v> </v>
      </c>
      <c r="AF71" s="375" t="e">
        <f t="shared" si="37"/>
        <v>#N/A</v>
      </c>
      <c r="AG71" s="378" t="str">
        <f t="shared" si="38"/>
        <v> </v>
      </c>
      <c r="AH71" s="379" t="e">
        <f t="shared" si="28"/>
        <v>#VALUE!</v>
      </c>
      <c r="AI71" s="378" t="e">
        <f t="shared" si="39"/>
        <v>#VALUE!</v>
      </c>
      <c r="AJ71" s="375" t="e">
        <f t="shared" si="40"/>
        <v>#N/A</v>
      </c>
      <c r="AK71" s="375" t="e">
        <f>VLOOKUP(AJ71,'排出係数表'!$A$4:$C$202,2,FALSE)</f>
        <v>#N/A</v>
      </c>
      <c r="AL71" s="375" t="e">
        <f t="shared" si="41"/>
        <v>#N/A</v>
      </c>
      <c r="AM71" s="375" t="e">
        <f>VLOOKUP(AJ71,'排出係数表'!$A$4:$C$202,3,FALSE)</f>
        <v>#N/A</v>
      </c>
      <c r="AN71" s="375" t="e">
        <f t="shared" si="42"/>
        <v>#N/A</v>
      </c>
      <c r="AO71" s="375">
        <f t="shared" si="43"/>
      </c>
      <c r="AP71" s="379" t="str">
        <f t="shared" si="44"/>
        <v>-</v>
      </c>
      <c r="AQ71" s="375" t="e">
        <f t="shared" si="27"/>
        <v>#VALUE!</v>
      </c>
      <c r="AR71" s="375">
        <f t="shared" si="47"/>
      </c>
    </row>
    <row r="72" spans="1:44" s="380" customFormat="1" ht="13.5" customHeight="1">
      <c r="A72" s="375" t="str">
        <f>IF(ISBLANK(F72)=TRUE," ",IF(ISBLANK('様式2'!$C$23)=TRUE," ",'様式2'!$C$23))</f>
        <v> </v>
      </c>
      <c r="B72" s="375" t="e">
        <f>LOOKUP(LOOKUP(C72,'様式3'!$A$5:$A$44,'様式3'!$C$5:$C$44),'産業分類表'!$D$2:$D$68,'産業分類表'!$E$2:$E$68)</f>
        <v>#N/A</v>
      </c>
      <c r="C72" s="343"/>
      <c r="D72" s="343"/>
      <c r="E72" s="343"/>
      <c r="F72" s="343"/>
      <c r="G72" s="341"/>
      <c r="H72" s="349"/>
      <c r="I72" s="343"/>
      <c r="J72" s="343"/>
      <c r="K72" s="342"/>
      <c r="L72" s="350"/>
      <c r="M72" s="351"/>
      <c r="N72" s="343"/>
      <c r="O72" s="354">
        <f t="shared" si="29"/>
      </c>
      <c r="P72" s="354">
        <f t="shared" si="30"/>
      </c>
      <c r="Q72" s="389"/>
      <c r="R72" s="376">
        <f t="shared" si="25"/>
      </c>
      <c r="S72" s="376">
        <f t="shared" si="26"/>
      </c>
      <c r="T72" s="352"/>
      <c r="U72" s="353"/>
      <c r="V72" s="352"/>
      <c r="W72" s="343"/>
      <c r="X72" s="388">
        <f t="shared" si="45"/>
      </c>
      <c r="Y72" s="375" t="e">
        <f t="shared" si="31"/>
        <v>#N/A</v>
      </c>
      <c r="Z72" s="375" t="e">
        <f t="shared" si="32"/>
        <v>#N/A</v>
      </c>
      <c r="AA72" s="375">
        <f t="shared" si="46"/>
      </c>
      <c r="AB72" s="377">
        <f t="shared" si="33"/>
        <v>1</v>
      </c>
      <c r="AC72" s="375" t="str">
        <f t="shared" si="34"/>
        <v> </v>
      </c>
      <c r="AD72" s="375" t="e">
        <f t="shared" si="35"/>
        <v>#N/A</v>
      </c>
      <c r="AE72" s="375" t="str">
        <f t="shared" si="36"/>
        <v> </v>
      </c>
      <c r="AF72" s="375" t="e">
        <f t="shared" si="37"/>
        <v>#N/A</v>
      </c>
      <c r="AG72" s="378" t="str">
        <f t="shared" si="38"/>
        <v> </v>
      </c>
      <c r="AH72" s="379" t="e">
        <f t="shared" si="28"/>
        <v>#VALUE!</v>
      </c>
      <c r="AI72" s="378" t="e">
        <f t="shared" si="39"/>
        <v>#VALUE!</v>
      </c>
      <c r="AJ72" s="375" t="e">
        <f t="shared" si="40"/>
        <v>#N/A</v>
      </c>
      <c r="AK72" s="375" t="e">
        <f>VLOOKUP(AJ72,'排出係数表'!$A$4:$C$202,2,FALSE)</f>
        <v>#N/A</v>
      </c>
      <c r="AL72" s="375" t="e">
        <f t="shared" si="41"/>
        <v>#N/A</v>
      </c>
      <c r="AM72" s="375" t="e">
        <f>VLOOKUP(AJ72,'排出係数表'!$A$4:$C$202,3,FALSE)</f>
        <v>#N/A</v>
      </c>
      <c r="AN72" s="375" t="e">
        <f t="shared" si="42"/>
        <v>#N/A</v>
      </c>
      <c r="AO72" s="375">
        <f t="shared" si="43"/>
      </c>
      <c r="AP72" s="379" t="str">
        <f t="shared" si="44"/>
        <v>-</v>
      </c>
      <c r="AQ72" s="375" t="e">
        <f t="shared" si="27"/>
        <v>#VALUE!</v>
      </c>
      <c r="AR72" s="375">
        <f t="shared" si="47"/>
      </c>
    </row>
    <row r="73" spans="1:44" s="380" customFormat="1" ht="13.5" customHeight="1">
      <c r="A73" s="375" t="str">
        <f>IF(ISBLANK(F73)=TRUE," ",IF(ISBLANK('様式2'!$C$23)=TRUE," ",'様式2'!$C$23))</f>
        <v> </v>
      </c>
      <c r="B73" s="375" t="e">
        <f>LOOKUP(LOOKUP(C73,'様式3'!$A$5:$A$44,'様式3'!$C$5:$C$44),'産業分類表'!$D$2:$D$68,'産業分類表'!$E$2:$E$68)</f>
        <v>#N/A</v>
      </c>
      <c r="C73" s="343"/>
      <c r="D73" s="343"/>
      <c r="E73" s="343"/>
      <c r="F73" s="343"/>
      <c r="G73" s="341"/>
      <c r="H73" s="349"/>
      <c r="I73" s="343"/>
      <c r="J73" s="343"/>
      <c r="K73" s="342"/>
      <c r="L73" s="350"/>
      <c r="M73" s="351"/>
      <c r="N73" s="343"/>
      <c r="O73" s="354">
        <f t="shared" si="29"/>
      </c>
      <c r="P73" s="354">
        <f t="shared" si="30"/>
      </c>
      <c r="Q73" s="389"/>
      <c r="R73" s="376">
        <f t="shared" si="25"/>
      </c>
      <c r="S73" s="376">
        <f t="shared" si="26"/>
      </c>
      <c r="T73" s="352"/>
      <c r="U73" s="353"/>
      <c r="V73" s="352"/>
      <c r="W73" s="343"/>
      <c r="X73" s="388">
        <f t="shared" si="45"/>
      </c>
      <c r="Y73" s="375" t="e">
        <f t="shared" si="31"/>
        <v>#N/A</v>
      </c>
      <c r="Z73" s="375" t="e">
        <f t="shared" si="32"/>
        <v>#N/A</v>
      </c>
      <c r="AA73" s="375">
        <f t="shared" si="46"/>
      </c>
      <c r="AB73" s="377">
        <f t="shared" si="33"/>
        <v>1</v>
      </c>
      <c r="AC73" s="375" t="str">
        <f t="shared" si="34"/>
        <v> </v>
      </c>
      <c r="AD73" s="375" t="e">
        <f t="shared" si="35"/>
        <v>#N/A</v>
      </c>
      <c r="AE73" s="375" t="str">
        <f t="shared" si="36"/>
        <v> </v>
      </c>
      <c r="AF73" s="375" t="e">
        <f t="shared" si="37"/>
        <v>#N/A</v>
      </c>
      <c r="AG73" s="378" t="str">
        <f t="shared" si="38"/>
        <v> </v>
      </c>
      <c r="AH73" s="379" t="e">
        <f t="shared" si="28"/>
        <v>#VALUE!</v>
      </c>
      <c r="AI73" s="378" t="e">
        <f t="shared" si="39"/>
        <v>#VALUE!</v>
      </c>
      <c r="AJ73" s="375" t="e">
        <f t="shared" si="40"/>
        <v>#N/A</v>
      </c>
      <c r="AK73" s="375" t="e">
        <f>VLOOKUP(AJ73,'排出係数表'!$A$4:$C$202,2,FALSE)</f>
        <v>#N/A</v>
      </c>
      <c r="AL73" s="375" t="e">
        <f t="shared" si="41"/>
        <v>#N/A</v>
      </c>
      <c r="AM73" s="375" t="e">
        <f>VLOOKUP(AJ73,'排出係数表'!$A$4:$C$202,3,FALSE)</f>
        <v>#N/A</v>
      </c>
      <c r="AN73" s="375" t="e">
        <f t="shared" si="42"/>
        <v>#N/A</v>
      </c>
      <c r="AO73" s="375">
        <f t="shared" si="43"/>
      </c>
      <c r="AP73" s="379" t="str">
        <f t="shared" si="44"/>
        <v>-</v>
      </c>
      <c r="AQ73" s="375" t="e">
        <f t="shared" si="27"/>
        <v>#VALUE!</v>
      </c>
      <c r="AR73" s="375">
        <f t="shared" si="47"/>
      </c>
    </row>
    <row r="74" spans="1:44" s="380" customFormat="1" ht="13.5" customHeight="1">
      <c r="A74" s="375" t="str">
        <f>IF(ISBLANK(F74)=TRUE," ",IF(ISBLANK('様式2'!$C$23)=TRUE," ",'様式2'!$C$23))</f>
        <v> </v>
      </c>
      <c r="B74" s="375" t="e">
        <f>LOOKUP(LOOKUP(C74,'様式3'!$A$5:$A$44,'様式3'!$C$5:$C$44),'産業分類表'!$D$2:$D$68,'産業分類表'!$E$2:$E$68)</f>
        <v>#N/A</v>
      </c>
      <c r="C74" s="343"/>
      <c r="D74" s="343"/>
      <c r="E74" s="343"/>
      <c r="F74" s="343"/>
      <c r="G74" s="341"/>
      <c r="H74" s="349"/>
      <c r="I74" s="343"/>
      <c r="J74" s="343"/>
      <c r="K74" s="342"/>
      <c r="L74" s="350"/>
      <c r="M74" s="351"/>
      <c r="N74" s="343"/>
      <c r="O74" s="354">
        <f t="shared" si="29"/>
      </c>
      <c r="P74" s="354">
        <f t="shared" si="30"/>
      </c>
      <c r="Q74" s="389"/>
      <c r="R74" s="376">
        <f t="shared" si="25"/>
      </c>
      <c r="S74" s="376">
        <f t="shared" si="26"/>
      </c>
      <c r="T74" s="352"/>
      <c r="U74" s="353"/>
      <c r="V74" s="352"/>
      <c r="W74" s="343"/>
      <c r="X74" s="388">
        <f t="shared" si="45"/>
      </c>
      <c r="Y74" s="375" t="e">
        <f t="shared" si="31"/>
        <v>#N/A</v>
      </c>
      <c r="Z74" s="375" t="e">
        <f t="shared" si="32"/>
        <v>#N/A</v>
      </c>
      <c r="AA74" s="375">
        <f t="shared" si="46"/>
      </c>
      <c r="AB74" s="377">
        <f t="shared" si="33"/>
        <v>1</v>
      </c>
      <c r="AC74" s="375" t="str">
        <f t="shared" si="34"/>
        <v> </v>
      </c>
      <c r="AD74" s="375" t="e">
        <f t="shared" si="35"/>
        <v>#N/A</v>
      </c>
      <c r="AE74" s="375" t="str">
        <f t="shared" si="36"/>
        <v> </v>
      </c>
      <c r="AF74" s="375" t="e">
        <f t="shared" si="37"/>
        <v>#N/A</v>
      </c>
      <c r="AG74" s="378" t="str">
        <f t="shared" si="38"/>
        <v> </v>
      </c>
      <c r="AH74" s="379" t="e">
        <f t="shared" si="28"/>
        <v>#VALUE!</v>
      </c>
      <c r="AI74" s="378" t="e">
        <f t="shared" si="39"/>
        <v>#VALUE!</v>
      </c>
      <c r="AJ74" s="375" t="e">
        <f t="shared" si="40"/>
        <v>#N/A</v>
      </c>
      <c r="AK74" s="375" t="e">
        <f>VLOOKUP(AJ74,'排出係数表'!$A$4:$C$202,2,FALSE)</f>
        <v>#N/A</v>
      </c>
      <c r="AL74" s="375" t="e">
        <f t="shared" si="41"/>
        <v>#N/A</v>
      </c>
      <c r="AM74" s="375" t="e">
        <f>VLOOKUP(AJ74,'排出係数表'!$A$4:$C$202,3,FALSE)</f>
        <v>#N/A</v>
      </c>
      <c r="AN74" s="375" t="e">
        <f t="shared" si="42"/>
        <v>#N/A</v>
      </c>
      <c r="AO74" s="375">
        <f t="shared" si="43"/>
      </c>
      <c r="AP74" s="379" t="str">
        <f t="shared" si="44"/>
        <v>-</v>
      </c>
      <c r="AQ74" s="375" t="e">
        <f t="shared" si="27"/>
        <v>#VALUE!</v>
      </c>
      <c r="AR74" s="375">
        <f t="shared" si="47"/>
      </c>
    </row>
    <row r="75" spans="1:44" s="380" customFormat="1" ht="13.5" customHeight="1">
      <c r="A75" s="375" t="str">
        <f>IF(ISBLANK(F75)=TRUE," ",IF(ISBLANK('様式2'!$C$23)=TRUE," ",'様式2'!$C$23))</f>
        <v> </v>
      </c>
      <c r="B75" s="375" t="e">
        <f>LOOKUP(LOOKUP(C75,'様式3'!$A$5:$A$44,'様式3'!$C$5:$C$44),'産業分類表'!$D$2:$D$68,'産業分類表'!$E$2:$E$68)</f>
        <v>#N/A</v>
      </c>
      <c r="C75" s="343"/>
      <c r="D75" s="343"/>
      <c r="E75" s="343"/>
      <c r="F75" s="343"/>
      <c r="G75" s="341"/>
      <c r="H75" s="349"/>
      <c r="I75" s="343"/>
      <c r="J75" s="343"/>
      <c r="K75" s="342"/>
      <c r="L75" s="350"/>
      <c r="M75" s="351"/>
      <c r="N75" s="343"/>
      <c r="O75" s="354">
        <f t="shared" si="29"/>
      </c>
      <c r="P75" s="354">
        <f t="shared" si="30"/>
      </c>
      <c r="Q75" s="389"/>
      <c r="R75" s="376">
        <f aca="true" t="shared" si="48" ref="R75:R138">IF(O75="","",IF(ISERROR(O75*AB75),"要確認",IF(ISBLANK(Q75)=TRUE,"要確認",IF(ISBLANK(O75)=TRUE,"要確認",O75*AB75*Q75/1000))))</f>
      </c>
      <c r="S75" s="376">
        <f aca="true" t="shared" si="49" ref="S75:S138">IF(P75="","",IF(ISERROR(P75*AB75),"要確認",IF(ISBLANK(Q75)=TRUE,"要確認",IF(ISBLANK(P75)=TRUE,"要確認",P75*AB75*Q75/1000))))</f>
      </c>
      <c r="T75" s="352"/>
      <c r="U75" s="353"/>
      <c r="V75" s="352"/>
      <c r="W75" s="343"/>
      <c r="X75" s="388">
        <f t="shared" si="45"/>
      </c>
      <c r="Y75" s="375" t="e">
        <f t="shared" si="31"/>
        <v>#N/A</v>
      </c>
      <c r="Z75" s="375" t="e">
        <f t="shared" si="32"/>
        <v>#N/A</v>
      </c>
      <c r="AA75" s="375">
        <f t="shared" si="46"/>
      </c>
      <c r="AB75" s="377">
        <f t="shared" si="33"/>
        <v>1</v>
      </c>
      <c r="AC75" s="375" t="str">
        <f t="shared" si="34"/>
        <v> </v>
      </c>
      <c r="AD75" s="375" t="e">
        <f t="shared" si="35"/>
        <v>#N/A</v>
      </c>
      <c r="AE75" s="375" t="str">
        <f t="shared" si="36"/>
        <v> </v>
      </c>
      <c r="AF75" s="375" t="e">
        <f t="shared" si="37"/>
        <v>#N/A</v>
      </c>
      <c r="AG75" s="378" t="str">
        <f t="shared" si="38"/>
        <v> </v>
      </c>
      <c r="AH75" s="379" t="e">
        <f t="shared" si="28"/>
        <v>#VALUE!</v>
      </c>
      <c r="AI75" s="378" t="e">
        <f t="shared" si="39"/>
        <v>#VALUE!</v>
      </c>
      <c r="AJ75" s="375" t="e">
        <f t="shared" si="40"/>
        <v>#N/A</v>
      </c>
      <c r="AK75" s="375" t="e">
        <f>VLOOKUP(AJ75,'排出係数表'!$A$4:$C$202,2,FALSE)</f>
        <v>#N/A</v>
      </c>
      <c r="AL75" s="375" t="e">
        <f t="shared" si="41"/>
        <v>#N/A</v>
      </c>
      <c r="AM75" s="375" t="e">
        <f>VLOOKUP(AJ75,'排出係数表'!$A$4:$C$202,3,FALSE)</f>
        <v>#N/A</v>
      </c>
      <c r="AN75" s="375" t="e">
        <f t="shared" si="42"/>
        <v>#N/A</v>
      </c>
      <c r="AO75" s="375">
        <f t="shared" si="43"/>
      </c>
      <c r="AP75" s="379" t="str">
        <f t="shared" si="44"/>
        <v>-</v>
      </c>
      <c r="AQ75" s="375" t="e">
        <f t="shared" si="27"/>
        <v>#VALUE!</v>
      </c>
      <c r="AR75" s="375">
        <f t="shared" si="47"/>
      </c>
    </row>
    <row r="76" spans="1:44" s="380" customFormat="1" ht="13.5" customHeight="1">
      <c r="A76" s="375" t="str">
        <f>IF(ISBLANK(F76)=TRUE," ",IF(ISBLANK('様式2'!$C$23)=TRUE," ",'様式2'!$C$23))</f>
        <v> </v>
      </c>
      <c r="B76" s="375" t="e">
        <f>LOOKUP(LOOKUP(C76,'様式3'!$A$5:$A$44,'様式3'!$C$5:$C$44),'産業分類表'!$D$2:$D$68,'産業分類表'!$E$2:$E$68)</f>
        <v>#N/A</v>
      </c>
      <c r="C76" s="343"/>
      <c r="D76" s="343"/>
      <c r="E76" s="343"/>
      <c r="F76" s="343"/>
      <c r="G76" s="341"/>
      <c r="H76" s="349"/>
      <c r="I76" s="343"/>
      <c r="J76" s="343"/>
      <c r="K76" s="342"/>
      <c r="L76" s="350"/>
      <c r="M76" s="351"/>
      <c r="N76" s="343"/>
      <c r="O76" s="354">
        <f t="shared" si="29"/>
      </c>
      <c r="P76" s="354">
        <f t="shared" si="30"/>
      </c>
      <c r="Q76" s="389"/>
      <c r="R76" s="376">
        <f t="shared" si="48"/>
      </c>
      <c r="S76" s="376">
        <f t="shared" si="49"/>
      </c>
      <c r="T76" s="352"/>
      <c r="U76" s="353"/>
      <c r="V76" s="352"/>
      <c r="W76" s="343"/>
      <c r="X76" s="388">
        <f t="shared" si="45"/>
      </c>
      <c r="Y76" s="375" t="e">
        <f t="shared" si="31"/>
        <v>#N/A</v>
      </c>
      <c r="Z76" s="375" t="e">
        <f t="shared" si="32"/>
        <v>#N/A</v>
      </c>
      <c r="AA76" s="375">
        <f t="shared" si="46"/>
      </c>
      <c r="AB76" s="377">
        <f t="shared" si="33"/>
        <v>1</v>
      </c>
      <c r="AC76" s="375" t="str">
        <f t="shared" si="34"/>
        <v> </v>
      </c>
      <c r="AD76" s="375" t="e">
        <f t="shared" si="35"/>
        <v>#N/A</v>
      </c>
      <c r="AE76" s="375" t="str">
        <f t="shared" si="36"/>
        <v> </v>
      </c>
      <c r="AF76" s="375" t="e">
        <f t="shared" si="37"/>
        <v>#N/A</v>
      </c>
      <c r="AG76" s="378" t="str">
        <f t="shared" si="38"/>
        <v> </v>
      </c>
      <c r="AH76" s="379" t="e">
        <f t="shared" si="28"/>
        <v>#VALUE!</v>
      </c>
      <c r="AI76" s="378" t="e">
        <f t="shared" si="39"/>
        <v>#VALUE!</v>
      </c>
      <c r="AJ76" s="375" t="e">
        <f t="shared" si="40"/>
        <v>#N/A</v>
      </c>
      <c r="AK76" s="375" t="e">
        <f>VLOOKUP(AJ76,'排出係数表'!$A$4:$C$202,2,FALSE)</f>
        <v>#N/A</v>
      </c>
      <c r="AL76" s="375" t="e">
        <f t="shared" si="41"/>
        <v>#N/A</v>
      </c>
      <c r="AM76" s="375" t="e">
        <f>VLOOKUP(AJ76,'排出係数表'!$A$4:$C$202,3,FALSE)</f>
        <v>#N/A</v>
      </c>
      <c r="AN76" s="375" t="e">
        <f t="shared" si="42"/>
        <v>#N/A</v>
      </c>
      <c r="AO76" s="375">
        <f t="shared" si="43"/>
      </c>
      <c r="AP76" s="379" t="str">
        <f t="shared" si="44"/>
        <v>-</v>
      </c>
      <c r="AQ76" s="375" t="e">
        <f aca="true" t="shared" si="50" ref="AQ76:AQ139">IF(ISBLANK(T76)=TRUE,AI76,IF(T76="減車","減車",IF(OR(V76="同車種",ISBLANK(V76)=TRUE),IF(ISBLANK(W76)=TRUE,Z76&amp;AE76,VALUE(LEFT(W76,2))&amp;Z76&amp;AE76),IF(ISBLANK(W76)=TRUE,V76,VALUE(LEFT(W76,2))&amp;V76))))</f>
        <v>#VALUE!</v>
      </c>
      <c r="AR76" s="375">
        <f t="shared" si="47"/>
      </c>
    </row>
    <row r="77" spans="1:44" s="380" customFormat="1" ht="13.5" customHeight="1">
      <c r="A77" s="375" t="str">
        <f>IF(ISBLANK(F77)=TRUE," ",IF(ISBLANK('様式2'!$C$23)=TRUE," ",'様式2'!$C$23))</f>
        <v> </v>
      </c>
      <c r="B77" s="375" t="e">
        <f>LOOKUP(LOOKUP(C77,'様式3'!$A$5:$A$44,'様式3'!$C$5:$C$44),'産業分類表'!$D$2:$D$68,'産業分類表'!$E$2:$E$68)</f>
        <v>#N/A</v>
      </c>
      <c r="C77" s="343"/>
      <c r="D77" s="343"/>
      <c r="E77" s="343"/>
      <c r="F77" s="343"/>
      <c r="G77" s="341"/>
      <c r="H77" s="349"/>
      <c r="I77" s="343"/>
      <c r="J77" s="343"/>
      <c r="K77" s="342"/>
      <c r="L77" s="350"/>
      <c r="M77" s="351"/>
      <c r="N77" s="343"/>
      <c r="O77" s="354">
        <f t="shared" si="29"/>
      </c>
      <c r="P77" s="354">
        <f t="shared" si="30"/>
      </c>
      <c r="Q77" s="389"/>
      <c r="R77" s="376">
        <f t="shared" si="48"/>
      </c>
      <c r="S77" s="376">
        <f t="shared" si="49"/>
      </c>
      <c r="T77" s="352"/>
      <c r="U77" s="353"/>
      <c r="V77" s="352"/>
      <c r="W77" s="343"/>
      <c r="X77" s="388">
        <f t="shared" si="45"/>
      </c>
      <c r="Y77" s="375" t="e">
        <f t="shared" si="31"/>
        <v>#N/A</v>
      </c>
      <c r="Z77" s="375" t="e">
        <f t="shared" si="32"/>
        <v>#N/A</v>
      </c>
      <c r="AA77" s="375">
        <f t="shared" si="46"/>
      </c>
      <c r="AB77" s="377">
        <f t="shared" si="33"/>
        <v>1</v>
      </c>
      <c r="AC77" s="375" t="str">
        <f t="shared" si="34"/>
        <v> </v>
      </c>
      <c r="AD77" s="375" t="e">
        <f t="shared" si="35"/>
        <v>#N/A</v>
      </c>
      <c r="AE77" s="375" t="str">
        <f t="shared" si="36"/>
        <v> </v>
      </c>
      <c r="AF77" s="375" t="e">
        <f t="shared" si="37"/>
        <v>#N/A</v>
      </c>
      <c r="AG77" s="378" t="str">
        <f t="shared" si="38"/>
        <v> </v>
      </c>
      <c r="AH77" s="379" t="e">
        <f aca="true" t="shared" si="51" ref="AH77:AH103">VALUE(LEFT(J77,2))</f>
        <v>#VALUE!</v>
      </c>
      <c r="AI77" s="378" t="e">
        <f t="shared" si="39"/>
        <v>#VALUE!</v>
      </c>
      <c r="AJ77" s="375" t="e">
        <f t="shared" si="40"/>
        <v>#N/A</v>
      </c>
      <c r="AK77" s="375" t="e">
        <f>VLOOKUP(AJ77,'排出係数表'!$A$4:$C$202,2,FALSE)</f>
        <v>#N/A</v>
      </c>
      <c r="AL77" s="375" t="e">
        <f t="shared" si="41"/>
        <v>#N/A</v>
      </c>
      <c r="AM77" s="375" t="e">
        <f>VLOOKUP(AJ77,'排出係数表'!$A$4:$C$202,3,FALSE)</f>
        <v>#N/A</v>
      </c>
      <c r="AN77" s="375" t="e">
        <f t="shared" si="42"/>
        <v>#N/A</v>
      </c>
      <c r="AO77" s="375">
        <f t="shared" si="43"/>
      </c>
      <c r="AP77" s="379" t="str">
        <f t="shared" si="44"/>
        <v>-</v>
      </c>
      <c r="AQ77" s="375" t="e">
        <f t="shared" si="50"/>
        <v>#VALUE!</v>
      </c>
      <c r="AR77" s="375">
        <f t="shared" si="47"/>
      </c>
    </row>
    <row r="78" spans="1:44" s="380" customFormat="1" ht="13.5" customHeight="1">
      <c r="A78" s="375" t="str">
        <f>IF(ISBLANK(F78)=TRUE," ",IF(ISBLANK('様式2'!$C$23)=TRUE," ",'様式2'!$C$23))</f>
        <v> </v>
      </c>
      <c r="B78" s="375" t="e">
        <f>LOOKUP(LOOKUP(C78,'様式3'!$A$5:$A$44,'様式3'!$C$5:$C$44),'産業分類表'!$D$2:$D$68,'産業分類表'!$E$2:$E$68)</f>
        <v>#N/A</v>
      </c>
      <c r="C78" s="343"/>
      <c r="D78" s="343"/>
      <c r="E78" s="343"/>
      <c r="F78" s="343"/>
      <c r="G78" s="341"/>
      <c r="H78" s="349"/>
      <c r="I78" s="343"/>
      <c r="J78" s="343"/>
      <c r="K78" s="342"/>
      <c r="L78" s="350"/>
      <c r="M78" s="351"/>
      <c r="N78" s="343"/>
      <c r="O78" s="354">
        <f t="shared" si="29"/>
      </c>
      <c r="P78" s="354">
        <f t="shared" si="30"/>
      </c>
      <c r="Q78" s="389"/>
      <c r="R78" s="376">
        <f t="shared" si="48"/>
      </c>
      <c r="S78" s="376">
        <f t="shared" si="49"/>
      </c>
      <c r="T78" s="352"/>
      <c r="U78" s="353"/>
      <c r="V78" s="352"/>
      <c r="W78" s="343"/>
      <c r="X78" s="388">
        <f t="shared" si="45"/>
      </c>
      <c r="Y78" s="375" t="e">
        <f t="shared" si="31"/>
        <v>#N/A</v>
      </c>
      <c r="Z78" s="375" t="e">
        <f t="shared" si="32"/>
        <v>#N/A</v>
      </c>
      <c r="AA78" s="375">
        <f t="shared" si="46"/>
      </c>
      <c r="AB78" s="377">
        <f t="shared" si="33"/>
        <v>1</v>
      </c>
      <c r="AC78" s="375" t="str">
        <f t="shared" si="34"/>
        <v> </v>
      </c>
      <c r="AD78" s="375" t="e">
        <f t="shared" si="35"/>
        <v>#N/A</v>
      </c>
      <c r="AE78" s="375" t="str">
        <f t="shared" si="36"/>
        <v> </v>
      </c>
      <c r="AF78" s="375" t="e">
        <f t="shared" si="37"/>
        <v>#N/A</v>
      </c>
      <c r="AG78" s="378" t="str">
        <f t="shared" si="38"/>
        <v> </v>
      </c>
      <c r="AH78" s="379" t="e">
        <f t="shared" si="51"/>
        <v>#VALUE!</v>
      </c>
      <c r="AI78" s="378" t="e">
        <f t="shared" si="39"/>
        <v>#VALUE!</v>
      </c>
      <c r="AJ78" s="375" t="e">
        <f t="shared" si="40"/>
        <v>#N/A</v>
      </c>
      <c r="AK78" s="375" t="e">
        <f>VLOOKUP(AJ78,'排出係数表'!$A$4:$C$202,2,FALSE)</f>
        <v>#N/A</v>
      </c>
      <c r="AL78" s="375" t="e">
        <f t="shared" si="41"/>
        <v>#N/A</v>
      </c>
      <c r="AM78" s="375" t="e">
        <f>VLOOKUP(AJ78,'排出係数表'!$A$4:$C$202,3,FALSE)</f>
        <v>#N/A</v>
      </c>
      <c r="AN78" s="375" t="e">
        <f t="shared" si="42"/>
        <v>#N/A</v>
      </c>
      <c r="AO78" s="375">
        <f t="shared" si="43"/>
      </c>
      <c r="AP78" s="379" t="str">
        <f t="shared" si="44"/>
        <v>-</v>
      </c>
      <c r="AQ78" s="375" t="e">
        <f t="shared" si="50"/>
        <v>#VALUE!</v>
      </c>
      <c r="AR78" s="375">
        <f t="shared" si="47"/>
      </c>
    </row>
    <row r="79" spans="1:44" s="380" customFormat="1" ht="13.5" customHeight="1">
      <c r="A79" s="375" t="str">
        <f>IF(ISBLANK(F79)=TRUE," ",IF(ISBLANK('様式2'!$C$23)=TRUE," ",'様式2'!$C$23))</f>
        <v> </v>
      </c>
      <c r="B79" s="375" t="e">
        <f>LOOKUP(LOOKUP(C79,'様式3'!$A$5:$A$44,'様式3'!$C$5:$C$44),'産業分類表'!$D$2:$D$68,'産業分類表'!$E$2:$E$68)</f>
        <v>#N/A</v>
      </c>
      <c r="C79" s="343"/>
      <c r="D79" s="343"/>
      <c r="E79" s="343"/>
      <c r="F79" s="343"/>
      <c r="G79" s="341"/>
      <c r="H79" s="349"/>
      <c r="I79" s="343"/>
      <c r="J79" s="343"/>
      <c r="K79" s="342"/>
      <c r="L79" s="350"/>
      <c r="M79" s="351"/>
      <c r="N79" s="343"/>
      <c r="O79" s="354">
        <f t="shared" si="29"/>
      </c>
      <c r="P79" s="354">
        <f t="shared" si="30"/>
      </c>
      <c r="Q79" s="389"/>
      <c r="R79" s="376">
        <f t="shared" si="48"/>
      </c>
      <c r="S79" s="376">
        <f t="shared" si="49"/>
      </c>
      <c r="T79" s="352"/>
      <c r="U79" s="353"/>
      <c r="V79" s="352"/>
      <c r="W79" s="343"/>
      <c r="X79" s="388">
        <f t="shared" si="45"/>
      </c>
      <c r="Y79" s="375" t="e">
        <f t="shared" si="31"/>
        <v>#N/A</v>
      </c>
      <c r="Z79" s="375" t="e">
        <f t="shared" si="32"/>
        <v>#N/A</v>
      </c>
      <c r="AA79" s="375">
        <f t="shared" si="46"/>
      </c>
      <c r="AB79" s="377">
        <f t="shared" si="33"/>
        <v>1</v>
      </c>
      <c r="AC79" s="375" t="str">
        <f t="shared" si="34"/>
        <v> </v>
      </c>
      <c r="AD79" s="375" t="e">
        <f t="shared" si="35"/>
        <v>#N/A</v>
      </c>
      <c r="AE79" s="375" t="str">
        <f t="shared" si="36"/>
        <v> </v>
      </c>
      <c r="AF79" s="375" t="e">
        <f t="shared" si="37"/>
        <v>#N/A</v>
      </c>
      <c r="AG79" s="378" t="str">
        <f t="shared" si="38"/>
        <v> </v>
      </c>
      <c r="AH79" s="379" t="e">
        <f t="shared" si="51"/>
        <v>#VALUE!</v>
      </c>
      <c r="AI79" s="378" t="e">
        <f t="shared" si="39"/>
        <v>#VALUE!</v>
      </c>
      <c r="AJ79" s="375" t="e">
        <f t="shared" si="40"/>
        <v>#N/A</v>
      </c>
      <c r="AK79" s="375" t="e">
        <f>VLOOKUP(AJ79,'排出係数表'!$A$4:$C$202,2,FALSE)</f>
        <v>#N/A</v>
      </c>
      <c r="AL79" s="375" t="e">
        <f t="shared" si="41"/>
        <v>#N/A</v>
      </c>
      <c r="AM79" s="375" t="e">
        <f>VLOOKUP(AJ79,'排出係数表'!$A$4:$C$202,3,FALSE)</f>
        <v>#N/A</v>
      </c>
      <c r="AN79" s="375" t="e">
        <f t="shared" si="42"/>
        <v>#N/A</v>
      </c>
      <c r="AO79" s="375">
        <f t="shared" si="43"/>
      </c>
      <c r="AP79" s="379" t="str">
        <f t="shared" si="44"/>
        <v>-</v>
      </c>
      <c r="AQ79" s="375" t="e">
        <f t="shared" si="50"/>
        <v>#VALUE!</v>
      </c>
      <c r="AR79" s="375">
        <f t="shared" si="47"/>
      </c>
    </row>
    <row r="80" spans="1:44" s="380" customFormat="1" ht="13.5" customHeight="1">
      <c r="A80" s="375" t="str">
        <f>IF(ISBLANK(F80)=TRUE," ",IF(ISBLANK('様式2'!$C$23)=TRUE," ",'様式2'!$C$23))</f>
        <v> </v>
      </c>
      <c r="B80" s="375" t="e">
        <f>LOOKUP(LOOKUP(C80,'様式3'!$A$5:$A$44,'様式3'!$C$5:$C$44),'産業分類表'!$D$2:$D$68,'産業分類表'!$E$2:$E$68)</f>
        <v>#N/A</v>
      </c>
      <c r="C80" s="343"/>
      <c r="D80" s="343"/>
      <c r="E80" s="343"/>
      <c r="F80" s="343"/>
      <c r="G80" s="341"/>
      <c r="H80" s="349"/>
      <c r="I80" s="343"/>
      <c r="J80" s="343"/>
      <c r="K80" s="342"/>
      <c r="L80" s="350"/>
      <c r="M80" s="351"/>
      <c r="N80" s="343"/>
      <c r="O80" s="354">
        <f t="shared" si="29"/>
      </c>
      <c r="P80" s="354">
        <f t="shared" si="30"/>
      </c>
      <c r="Q80" s="389"/>
      <c r="R80" s="376">
        <f t="shared" si="48"/>
      </c>
      <c r="S80" s="376">
        <f t="shared" si="49"/>
      </c>
      <c r="T80" s="352"/>
      <c r="U80" s="353"/>
      <c r="V80" s="352"/>
      <c r="W80" s="343"/>
      <c r="X80" s="388">
        <f t="shared" si="45"/>
      </c>
      <c r="Y80" s="375" t="e">
        <f t="shared" si="31"/>
        <v>#N/A</v>
      </c>
      <c r="Z80" s="375" t="e">
        <f t="shared" si="32"/>
        <v>#N/A</v>
      </c>
      <c r="AA80" s="375">
        <f t="shared" si="46"/>
      </c>
      <c r="AB80" s="377">
        <f t="shared" si="33"/>
        <v>1</v>
      </c>
      <c r="AC80" s="375" t="str">
        <f t="shared" si="34"/>
        <v> </v>
      </c>
      <c r="AD80" s="375" t="e">
        <f t="shared" si="35"/>
        <v>#N/A</v>
      </c>
      <c r="AE80" s="375" t="str">
        <f t="shared" si="36"/>
        <v> </v>
      </c>
      <c r="AF80" s="375" t="e">
        <f t="shared" si="37"/>
        <v>#N/A</v>
      </c>
      <c r="AG80" s="378" t="str">
        <f t="shared" si="38"/>
        <v> </v>
      </c>
      <c r="AH80" s="379" t="e">
        <f t="shared" si="51"/>
        <v>#VALUE!</v>
      </c>
      <c r="AI80" s="378" t="e">
        <f t="shared" si="39"/>
        <v>#VALUE!</v>
      </c>
      <c r="AJ80" s="375" t="e">
        <f t="shared" si="40"/>
        <v>#N/A</v>
      </c>
      <c r="AK80" s="375" t="e">
        <f>VLOOKUP(AJ80,'排出係数表'!$A$4:$C$202,2,FALSE)</f>
        <v>#N/A</v>
      </c>
      <c r="AL80" s="375" t="e">
        <f t="shared" si="41"/>
        <v>#N/A</v>
      </c>
      <c r="AM80" s="375" t="e">
        <f>VLOOKUP(AJ80,'排出係数表'!$A$4:$C$202,3,FALSE)</f>
        <v>#N/A</v>
      </c>
      <c r="AN80" s="375" t="e">
        <f t="shared" si="42"/>
        <v>#N/A</v>
      </c>
      <c r="AO80" s="375">
        <f t="shared" si="43"/>
      </c>
      <c r="AP80" s="379" t="str">
        <f t="shared" si="44"/>
        <v>-</v>
      </c>
      <c r="AQ80" s="375" t="e">
        <f t="shared" si="50"/>
        <v>#VALUE!</v>
      </c>
      <c r="AR80" s="375">
        <f t="shared" si="47"/>
      </c>
    </row>
    <row r="81" spans="1:44" s="380" customFormat="1" ht="13.5" customHeight="1">
      <c r="A81" s="375" t="str">
        <f>IF(ISBLANK(F81)=TRUE," ",IF(ISBLANK('様式2'!$C$23)=TRUE," ",'様式2'!$C$23))</f>
        <v> </v>
      </c>
      <c r="B81" s="375" t="e">
        <f>LOOKUP(LOOKUP(C81,'様式3'!$A$5:$A$44,'様式3'!$C$5:$C$44),'産業分類表'!$D$2:$D$68,'産業分類表'!$E$2:$E$68)</f>
        <v>#N/A</v>
      </c>
      <c r="C81" s="343"/>
      <c r="D81" s="343"/>
      <c r="E81" s="343"/>
      <c r="F81" s="343"/>
      <c r="G81" s="341"/>
      <c r="H81" s="349"/>
      <c r="I81" s="343"/>
      <c r="J81" s="343"/>
      <c r="K81" s="342"/>
      <c r="L81" s="350"/>
      <c r="M81" s="351"/>
      <c r="N81" s="343"/>
      <c r="O81" s="354">
        <f t="shared" si="29"/>
      </c>
      <c r="P81" s="354">
        <f t="shared" si="30"/>
      </c>
      <c r="Q81" s="389"/>
      <c r="R81" s="376">
        <f t="shared" si="48"/>
      </c>
      <c r="S81" s="376">
        <f t="shared" si="49"/>
      </c>
      <c r="T81" s="352"/>
      <c r="U81" s="353"/>
      <c r="V81" s="352"/>
      <c r="W81" s="343"/>
      <c r="X81" s="388">
        <f t="shared" si="45"/>
      </c>
      <c r="Y81" s="375" t="e">
        <f t="shared" si="31"/>
        <v>#N/A</v>
      </c>
      <c r="Z81" s="375" t="e">
        <f t="shared" si="32"/>
        <v>#N/A</v>
      </c>
      <c r="AA81" s="375">
        <f t="shared" si="46"/>
      </c>
      <c r="AB81" s="377">
        <f t="shared" si="33"/>
        <v>1</v>
      </c>
      <c r="AC81" s="375" t="str">
        <f t="shared" si="34"/>
        <v> </v>
      </c>
      <c r="AD81" s="375" t="e">
        <f t="shared" si="35"/>
        <v>#N/A</v>
      </c>
      <c r="AE81" s="375" t="str">
        <f t="shared" si="36"/>
        <v> </v>
      </c>
      <c r="AF81" s="375" t="e">
        <f t="shared" si="37"/>
        <v>#N/A</v>
      </c>
      <c r="AG81" s="378" t="str">
        <f t="shared" si="38"/>
        <v> </v>
      </c>
      <c r="AH81" s="379" t="e">
        <f t="shared" si="51"/>
        <v>#VALUE!</v>
      </c>
      <c r="AI81" s="378" t="e">
        <f t="shared" si="39"/>
        <v>#VALUE!</v>
      </c>
      <c r="AJ81" s="375" t="e">
        <f t="shared" si="40"/>
        <v>#N/A</v>
      </c>
      <c r="AK81" s="375" t="e">
        <f>VLOOKUP(AJ81,'排出係数表'!$A$4:$C$202,2,FALSE)</f>
        <v>#N/A</v>
      </c>
      <c r="AL81" s="375" t="e">
        <f t="shared" si="41"/>
        <v>#N/A</v>
      </c>
      <c r="AM81" s="375" t="e">
        <f>VLOOKUP(AJ81,'排出係数表'!$A$4:$C$202,3,FALSE)</f>
        <v>#N/A</v>
      </c>
      <c r="AN81" s="375" t="e">
        <f t="shared" si="42"/>
        <v>#N/A</v>
      </c>
      <c r="AO81" s="375">
        <f t="shared" si="43"/>
      </c>
      <c r="AP81" s="379" t="str">
        <f t="shared" si="44"/>
        <v>-</v>
      </c>
      <c r="AQ81" s="375" t="e">
        <f t="shared" si="50"/>
        <v>#VALUE!</v>
      </c>
      <c r="AR81" s="375">
        <f t="shared" si="47"/>
      </c>
    </row>
    <row r="82" spans="1:44" s="380" customFormat="1" ht="13.5" customHeight="1">
      <c r="A82" s="375" t="str">
        <f>IF(ISBLANK(F82)=TRUE," ",IF(ISBLANK('様式2'!$C$23)=TRUE," ",'様式2'!$C$23))</f>
        <v> </v>
      </c>
      <c r="B82" s="375" t="e">
        <f>LOOKUP(LOOKUP(C82,'様式3'!$A$5:$A$44,'様式3'!$C$5:$C$44),'産業分類表'!$D$2:$D$68,'産業分類表'!$E$2:$E$68)</f>
        <v>#N/A</v>
      </c>
      <c r="C82" s="343"/>
      <c r="D82" s="343"/>
      <c r="E82" s="343"/>
      <c r="F82" s="343"/>
      <c r="G82" s="341"/>
      <c r="H82" s="349"/>
      <c r="I82" s="343"/>
      <c r="J82" s="343"/>
      <c r="K82" s="342"/>
      <c r="L82" s="350"/>
      <c r="M82" s="351"/>
      <c r="N82" s="343"/>
      <c r="O82" s="354">
        <f t="shared" si="29"/>
      </c>
      <c r="P82" s="354">
        <f t="shared" si="30"/>
      </c>
      <c r="Q82" s="389"/>
      <c r="R82" s="376">
        <f t="shared" si="48"/>
      </c>
      <c r="S82" s="376">
        <f t="shared" si="49"/>
      </c>
      <c r="T82" s="352"/>
      <c r="U82" s="353"/>
      <c r="V82" s="352"/>
      <c r="W82" s="343"/>
      <c r="X82" s="388">
        <f t="shared" si="45"/>
      </c>
      <c r="Y82" s="375" t="e">
        <f t="shared" si="31"/>
        <v>#N/A</v>
      </c>
      <c r="Z82" s="375" t="e">
        <f t="shared" si="32"/>
        <v>#N/A</v>
      </c>
      <c r="AA82" s="375">
        <f t="shared" si="46"/>
      </c>
      <c r="AB82" s="377">
        <f t="shared" si="33"/>
        <v>1</v>
      </c>
      <c r="AC82" s="375" t="str">
        <f t="shared" si="34"/>
        <v> </v>
      </c>
      <c r="AD82" s="375" t="e">
        <f t="shared" si="35"/>
        <v>#N/A</v>
      </c>
      <c r="AE82" s="375" t="str">
        <f t="shared" si="36"/>
        <v> </v>
      </c>
      <c r="AF82" s="375" t="e">
        <f t="shared" si="37"/>
        <v>#N/A</v>
      </c>
      <c r="AG82" s="378" t="str">
        <f t="shared" si="38"/>
        <v> </v>
      </c>
      <c r="AH82" s="379" t="e">
        <f t="shared" si="51"/>
        <v>#VALUE!</v>
      </c>
      <c r="AI82" s="378" t="e">
        <f t="shared" si="39"/>
        <v>#VALUE!</v>
      </c>
      <c r="AJ82" s="375" t="e">
        <f t="shared" si="40"/>
        <v>#N/A</v>
      </c>
      <c r="AK82" s="375" t="e">
        <f>VLOOKUP(AJ82,'排出係数表'!$A$4:$C$202,2,FALSE)</f>
        <v>#N/A</v>
      </c>
      <c r="AL82" s="375" t="e">
        <f t="shared" si="41"/>
        <v>#N/A</v>
      </c>
      <c r="AM82" s="375" t="e">
        <f>VLOOKUP(AJ82,'排出係数表'!$A$4:$C$202,3,FALSE)</f>
        <v>#N/A</v>
      </c>
      <c r="AN82" s="375" t="e">
        <f t="shared" si="42"/>
        <v>#N/A</v>
      </c>
      <c r="AO82" s="375">
        <f t="shared" si="43"/>
      </c>
      <c r="AP82" s="379" t="str">
        <f t="shared" si="44"/>
        <v>-</v>
      </c>
      <c r="AQ82" s="375" t="e">
        <f t="shared" si="50"/>
        <v>#VALUE!</v>
      </c>
      <c r="AR82" s="375">
        <f t="shared" si="47"/>
      </c>
    </row>
    <row r="83" spans="1:44" s="380" customFormat="1" ht="13.5" customHeight="1">
      <c r="A83" s="375" t="str">
        <f>IF(ISBLANK(F83)=TRUE," ",IF(ISBLANK('様式2'!$C$23)=TRUE," ",'様式2'!$C$23))</f>
        <v> </v>
      </c>
      <c r="B83" s="375" t="e">
        <f>LOOKUP(LOOKUP(C83,'様式3'!$A$5:$A$44,'様式3'!$C$5:$C$44),'産業分類表'!$D$2:$D$68,'産業分類表'!$E$2:$E$68)</f>
        <v>#N/A</v>
      </c>
      <c r="C83" s="343"/>
      <c r="D83" s="343"/>
      <c r="E83" s="343"/>
      <c r="F83" s="343"/>
      <c r="G83" s="341"/>
      <c r="H83" s="349"/>
      <c r="I83" s="343"/>
      <c r="J83" s="343"/>
      <c r="K83" s="342"/>
      <c r="L83" s="350"/>
      <c r="M83" s="351"/>
      <c r="N83" s="343"/>
      <c r="O83" s="354">
        <f aca="true" t="shared" si="52" ref="O83:O146">IF(ISBLANK(J83)=TRUE,"",IF(AF83="メ","要確認",IF(ISBLANK(M83)=TRUE,IF(ISNUMBER(AK83*AL83)=TRUE,AK83*AL83,"要確認"),"要確認")))</f>
      </c>
      <c r="P83" s="354">
        <f aca="true" t="shared" si="53" ref="P83:P146">IF(ISBLANK(J83)=TRUE,"",IF(AF83="メ","要確認",IF(ISBLANK(N83)=TRUE,IF(ISNUMBER(AM83*AN83)=TRUE,AM83*AN83,"要確認"),"要確認")))</f>
      </c>
      <c r="Q83" s="389"/>
      <c r="R83" s="376">
        <f t="shared" si="48"/>
      </c>
      <c r="S83" s="376">
        <f t="shared" si="49"/>
      </c>
      <c r="T83" s="352"/>
      <c r="U83" s="353"/>
      <c r="V83" s="352"/>
      <c r="W83" s="343"/>
      <c r="X83" s="388">
        <f t="shared" si="45"/>
      </c>
      <c r="Y83" s="375" t="e">
        <f t="shared" si="31"/>
        <v>#N/A</v>
      </c>
      <c r="Z83" s="375" t="e">
        <f t="shared" si="32"/>
        <v>#N/A</v>
      </c>
      <c r="AA83" s="375">
        <f t="shared" si="46"/>
      </c>
      <c r="AB83" s="377">
        <f t="shared" si="33"/>
        <v>1</v>
      </c>
      <c r="AC83" s="375" t="str">
        <f t="shared" si="34"/>
        <v> </v>
      </c>
      <c r="AD83" s="375" t="e">
        <f t="shared" si="35"/>
        <v>#N/A</v>
      </c>
      <c r="AE83" s="375" t="str">
        <f t="shared" si="36"/>
        <v> </v>
      </c>
      <c r="AF83" s="375" t="e">
        <f t="shared" si="37"/>
        <v>#N/A</v>
      </c>
      <c r="AG83" s="378" t="str">
        <f t="shared" si="38"/>
        <v> </v>
      </c>
      <c r="AH83" s="379" t="e">
        <f t="shared" si="51"/>
        <v>#VALUE!</v>
      </c>
      <c r="AI83" s="378" t="e">
        <f t="shared" si="39"/>
        <v>#VALUE!</v>
      </c>
      <c r="AJ83" s="375" t="e">
        <f t="shared" si="40"/>
        <v>#N/A</v>
      </c>
      <c r="AK83" s="375" t="e">
        <f>VLOOKUP(AJ83,'排出係数表'!$A$4:$C$202,2,FALSE)</f>
        <v>#N/A</v>
      </c>
      <c r="AL83" s="375" t="e">
        <f t="shared" si="41"/>
        <v>#N/A</v>
      </c>
      <c r="AM83" s="375" t="e">
        <f>VLOOKUP(AJ83,'排出係数表'!$A$4:$C$202,3,FALSE)</f>
        <v>#N/A</v>
      </c>
      <c r="AN83" s="375" t="e">
        <f t="shared" si="42"/>
        <v>#N/A</v>
      </c>
      <c r="AO83" s="375">
        <f t="shared" si="43"/>
      </c>
      <c r="AP83" s="379" t="str">
        <f t="shared" si="44"/>
        <v>-</v>
      </c>
      <c r="AQ83" s="375" t="e">
        <f t="shared" si="50"/>
        <v>#VALUE!</v>
      </c>
      <c r="AR83" s="375">
        <f t="shared" si="47"/>
      </c>
    </row>
    <row r="84" spans="1:44" s="380" customFormat="1" ht="13.5" customHeight="1">
      <c r="A84" s="375" t="str">
        <f>IF(ISBLANK(F84)=TRUE," ",IF(ISBLANK('様式2'!$C$23)=TRUE," ",'様式2'!$C$23))</f>
        <v> </v>
      </c>
      <c r="B84" s="375" t="e">
        <f>LOOKUP(LOOKUP(C84,'様式3'!$A$5:$A$44,'様式3'!$C$5:$C$44),'産業分類表'!$D$2:$D$68,'産業分類表'!$E$2:$E$68)</f>
        <v>#N/A</v>
      </c>
      <c r="C84" s="343"/>
      <c r="D84" s="343"/>
      <c r="E84" s="343"/>
      <c r="F84" s="343"/>
      <c r="G84" s="341"/>
      <c r="H84" s="349"/>
      <c r="I84" s="343"/>
      <c r="J84" s="343"/>
      <c r="K84" s="342"/>
      <c r="L84" s="350"/>
      <c r="M84" s="351"/>
      <c r="N84" s="343"/>
      <c r="O84" s="354">
        <f t="shared" si="52"/>
      </c>
      <c r="P84" s="354">
        <f t="shared" si="53"/>
      </c>
      <c r="Q84" s="389"/>
      <c r="R84" s="376">
        <f t="shared" si="48"/>
      </c>
      <c r="S84" s="376">
        <f t="shared" si="49"/>
      </c>
      <c r="T84" s="352"/>
      <c r="U84" s="353"/>
      <c r="V84" s="352"/>
      <c r="W84" s="343"/>
      <c r="X84" s="388">
        <f t="shared" si="45"/>
      </c>
      <c r="Y84" s="375" t="e">
        <f t="shared" si="31"/>
        <v>#N/A</v>
      </c>
      <c r="Z84" s="375" t="e">
        <f t="shared" si="32"/>
        <v>#N/A</v>
      </c>
      <c r="AA84" s="375">
        <f t="shared" si="46"/>
      </c>
      <c r="AB84" s="377">
        <f t="shared" si="33"/>
        <v>1</v>
      </c>
      <c r="AC84" s="375" t="str">
        <f t="shared" si="34"/>
        <v> </v>
      </c>
      <c r="AD84" s="375" t="e">
        <f t="shared" si="35"/>
        <v>#N/A</v>
      </c>
      <c r="AE84" s="375" t="str">
        <f t="shared" si="36"/>
        <v> </v>
      </c>
      <c r="AF84" s="375" t="e">
        <f t="shared" si="37"/>
        <v>#N/A</v>
      </c>
      <c r="AG84" s="378" t="str">
        <f t="shared" si="38"/>
        <v> </v>
      </c>
      <c r="AH84" s="379" t="e">
        <f t="shared" si="51"/>
        <v>#VALUE!</v>
      </c>
      <c r="AI84" s="378" t="e">
        <f t="shared" si="39"/>
        <v>#VALUE!</v>
      </c>
      <c r="AJ84" s="375" t="e">
        <f t="shared" si="40"/>
        <v>#N/A</v>
      </c>
      <c r="AK84" s="375" t="e">
        <f>VLOOKUP(AJ84,'排出係数表'!$A$4:$C$202,2,FALSE)</f>
        <v>#N/A</v>
      </c>
      <c r="AL84" s="375" t="e">
        <f t="shared" si="41"/>
        <v>#N/A</v>
      </c>
      <c r="AM84" s="375" t="e">
        <f>VLOOKUP(AJ84,'排出係数表'!$A$4:$C$202,3,FALSE)</f>
        <v>#N/A</v>
      </c>
      <c r="AN84" s="375" t="e">
        <f t="shared" si="42"/>
        <v>#N/A</v>
      </c>
      <c r="AO84" s="375">
        <f t="shared" si="43"/>
      </c>
      <c r="AP84" s="379" t="str">
        <f t="shared" si="44"/>
        <v>-</v>
      </c>
      <c r="AQ84" s="375" t="e">
        <f t="shared" si="50"/>
        <v>#VALUE!</v>
      </c>
      <c r="AR84" s="375">
        <f t="shared" si="47"/>
      </c>
    </row>
    <row r="85" spans="1:44" s="380" customFormat="1" ht="13.5" customHeight="1">
      <c r="A85" s="375" t="str">
        <f>IF(ISBLANK(F85)=TRUE," ",IF(ISBLANK('様式2'!$C$23)=TRUE," ",'様式2'!$C$23))</f>
        <v> </v>
      </c>
      <c r="B85" s="375" t="e">
        <f>LOOKUP(LOOKUP(C85,'様式3'!$A$5:$A$44,'様式3'!$C$5:$C$44),'産業分類表'!$D$2:$D$68,'産業分類表'!$E$2:$E$68)</f>
        <v>#N/A</v>
      </c>
      <c r="C85" s="343"/>
      <c r="D85" s="343"/>
      <c r="E85" s="343"/>
      <c r="F85" s="343"/>
      <c r="G85" s="341"/>
      <c r="H85" s="349"/>
      <c r="I85" s="343"/>
      <c r="J85" s="343"/>
      <c r="K85" s="342"/>
      <c r="L85" s="350"/>
      <c r="M85" s="351"/>
      <c r="N85" s="343"/>
      <c r="O85" s="354">
        <f t="shared" si="52"/>
      </c>
      <c r="P85" s="354">
        <f t="shared" si="53"/>
      </c>
      <c r="Q85" s="389"/>
      <c r="R85" s="376">
        <f t="shared" si="48"/>
      </c>
      <c r="S85" s="376">
        <f t="shared" si="49"/>
      </c>
      <c r="T85" s="352"/>
      <c r="U85" s="353"/>
      <c r="V85" s="352"/>
      <c r="W85" s="343"/>
      <c r="X85" s="388">
        <f t="shared" si="45"/>
      </c>
      <c r="Y85" s="375" t="e">
        <f t="shared" si="31"/>
        <v>#N/A</v>
      </c>
      <c r="Z85" s="375" t="e">
        <f t="shared" si="32"/>
        <v>#N/A</v>
      </c>
      <c r="AA85" s="375">
        <f t="shared" si="46"/>
      </c>
      <c r="AB85" s="377">
        <f t="shared" si="33"/>
        <v>1</v>
      </c>
      <c r="AC85" s="375" t="str">
        <f t="shared" si="34"/>
        <v> </v>
      </c>
      <c r="AD85" s="375" t="e">
        <f t="shared" si="35"/>
        <v>#N/A</v>
      </c>
      <c r="AE85" s="375" t="str">
        <f t="shared" si="36"/>
        <v> </v>
      </c>
      <c r="AF85" s="375" t="e">
        <f t="shared" si="37"/>
        <v>#N/A</v>
      </c>
      <c r="AG85" s="378" t="str">
        <f t="shared" si="38"/>
        <v> </v>
      </c>
      <c r="AH85" s="379" t="e">
        <f t="shared" si="51"/>
        <v>#VALUE!</v>
      </c>
      <c r="AI85" s="378" t="e">
        <f t="shared" si="39"/>
        <v>#VALUE!</v>
      </c>
      <c r="AJ85" s="375" t="e">
        <f t="shared" si="40"/>
        <v>#N/A</v>
      </c>
      <c r="AK85" s="375" t="e">
        <f>VLOOKUP(AJ85,'排出係数表'!$A$4:$C$202,2,FALSE)</f>
        <v>#N/A</v>
      </c>
      <c r="AL85" s="375" t="e">
        <f t="shared" si="41"/>
        <v>#N/A</v>
      </c>
      <c r="AM85" s="375" t="e">
        <f>VLOOKUP(AJ85,'排出係数表'!$A$4:$C$202,3,FALSE)</f>
        <v>#N/A</v>
      </c>
      <c r="AN85" s="375" t="e">
        <f t="shared" si="42"/>
        <v>#N/A</v>
      </c>
      <c r="AO85" s="375">
        <f t="shared" si="43"/>
      </c>
      <c r="AP85" s="379" t="str">
        <f t="shared" si="44"/>
        <v>-</v>
      </c>
      <c r="AQ85" s="375" t="e">
        <f t="shared" si="50"/>
        <v>#VALUE!</v>
      </c>
      <c r="AR85" s="375">
        <f t="shared" si="47"/>
      </c>
    </row>
    <row r="86" spans="1:44" s="380" customFormat="1" ht="13.5" customHeight="1">
      <c r="A86" s="375" t="str">
        <f>IF(ISBLANK(F86)=TRUE," ",IF(ISBLANK('様式2'!$C$23)=TRUE," ",'様式2'!$C$23))</f>
        <v> </v>
      </c>
      <c r="B86" s="375" t="e">
        <f>LOOKUP(LOOKUP(C86,'様式3'!$A$5:$A$44,'様式3'!$C$5:$C$44),'産業分類表'!$D$2:$D$68,'産業分類表'!$E$2:$E$68)</f>
        <v>#N/A</v>
      </c>
      <c r="C86" s="343"/>
      <c r="D86" s="343"/>
      <c r="E86" s="343"/>
      <c r="F86" s="343"/>
      <c r="G86" s="341"/>
      <c r="H86" s="349"/>
      <c r="I86" s="343"/>
      <c r="J86" s="343"/>
      <c r="K86" s="342"/>
      <c r="L86" s="350"/>
      <c r="M86" s="351"/>
      <c r="N86" s="343"/>
      <c r="O86" s="354">
        <f t="shared" si="52"/>
      </c>
      <c r="P86" s="354">
        <f t="shared" si="53"/>
      </c>
      <c r="Q86" s="389"/>
      <c r="R86" s="376">
        <f t="shared" si="48"/>
      </c>
      <c r="S86" s="376">
        <f t="shared" si="49"/>
      </c>
      <c r="T86" s="352"/>
      <c r="U86" s="353"/>
      <c r="V86" s="352"/>
      <c r="W86" s="343"/>
      <c r="X86" s="388">
        <f t="shared" si="45"/>
      </c>
      <c r="Y86" s="375" t="e">
        <f t="shared" si="31"/>
        <v>#N/A</v>
      </c>
      <c r="Z86" s="375" t="e">
        <f t="shared" si="32"/>
        <v>#N/A</v>
      </c>
      <c r="AA86" s="375">
        <f t="shared" si="46"/>
      </c>
      <c r="AB86" s="377">
        <f t="shared" si="33"/>
        <v>1</v>
      </c>
      <c r="AC86" s="375" t="str">
        <f t="shared" si="34"/>
        <v> </v>
      </c>
      <c r="AD86" s="375" t="e">
        <f t="shared" si="35"/>
        <v>#N/A</v>
      </c>
      <c r="AE86" s="375" t="str">
        <f t="shared" si="36"/>
        <v> </v>
      </c>
      <c r="AF86" s="375" t="e">
        <f t="shared" si="37"/>
        <v>#N/A</v>
      </c>
      <c r="AG86" s="378" t="str">
        <f t="shared" si="38"/>
        <v> </v>
      </c>
      <c r="AH86" s="379" t="e">
        <f t="shared" si="51"/>
        <v>#VALUE!</v>
      </c>
      <c r="AI86" s="378" t="e">
        <f t="shared" si="39"/>
        <v>#VALUE!</v>
      </c>
      <c r="AJ86" s="375" t="e">
        <f t="shared" si="40"/>
        <v>#N/A</v>
      </c>
      <c r="AK86" s="375" t="e">
        <f>VLOOKUP(AJ86,'排出係数表'!$A$4:$C$202,2,FALSE)</f>
        <v>#N/A</v>
      </c>
      <c r="AL86" s="375" t="e">
        <f t="shared" si="41"/>
        <v>#N/A</v>
      </c>
      <c r="AM86" s="375" t="e">
        <f>VLOOKUP(AJ86,'排出係数表'!$A$4:$C$202,3,FALSE)</f>
        <v>#N/A</v>
      </c>
      <c r="AN86" s="375" t="e">
        <f t="shared" si="42"/>
        <v>#N/A</v>
      </c>
      <c r="AO86" s="375">
        <f t="shared" si="43"/>
      </c>
      <c r="AP86" s="379" t="str">
        <f t="shared" si="44"/>
        <v>-</v>
      </c>
      <c r="AQ86" s="375" t="e">
        <f t="shared" si="50"/>
        <v>#VALUE!</v>
      </c>
      <c r="AR86" s="375">
        <f t="shared" si="47"/>
      </c>
    </row>
    <row r="87" spans="1:44" s="380" customFormat="1" ht="13.5" customHeight="1">
      <c r="A87" s="375" t="str">
        <f>IF(ISBLANK(F87)=TRUE," ",IF(ISBLANK('様式2'!$C$23)=TRUE," ",'様式2'!$C$23))</f>
        <v> </v>
      </c>
      <c r="B87" s="375" t="e">
        <f>LOOKUP(LOOKUP(C87,'様式3'!$A$5:$A$44,'様式3'!$C$5:$C$44),'産業分類表'!$D$2:$D$68,'産業分類表'!$E$2:$E$68)</f>
        <v>#N/A</v>
      </c>
      <c r="C87" s="343"/>
      <c r="D87" s="343"/>
      <c r="E87" s="343"/>
      <c r="F87" s="343"/>
      <c r="G87" s="341"/>
      <c r="H87" s="349"/>
      <c r="I87" s="343"/>
      <c r="J87" s="343"/>
      <c r="K87" s="342"/>
      <c r="L87" s="350"/>
      <c r="M87" s="351"/>
      <c r="N87" s="343"/>
      <c r="O87" s="354">
        <f t="shared" si="52"/>
      </c>
      <c r="P87" s="354">
        <f t="shared" si="53"/>
      </c>
      <c r="Q87" s="389"/>
      <c r="R87" s="376">
        <f t="shared" si="48"/>
      </c>
      <c r="S87" s="376">
        <f t="shared" si="49"/>
      </c>
      <c r="T87" s="352"/>
      <c r="U87" s="353"/>
      <c r="V87" s="352"/>
      <c r="W87" s="343"/>
      <c r="X87" s="388">
        <f t="shared" si="45"/>
      </c>
      <c r="Y87" s="375" t="e">
        <f t="shared" si="31"/>
        <v>#N/A</v>
      </c>
      <c r="Z87" s="375" t="e">
        <f t="shared" si="32"/>
        <v>#N/A</v>
      </c>
      <c r="AA87" s="375">
        <f t="shared" si="46"/>
      </c>
      <c r="AB87" s="377">
        <f t="shared" si="33"/>
        <v>1</v>
      </c>
      <c r="AC87" s="375" t="str">
        <f t="shared" si="34"/>
        <v> </v>
      </c>
      <c r="AD87" s="375" t="e">
        <f t="shared" si="35"/>
        <v>#N/A</v>
      </c>
      <c r="AE87" s="375" t="str">
        <f t="shared" si="36"/>
        <v> </v>
      </c>
      <c r="AF87" s="375" t="e">
        <f t="shared" si="37"/>
        <v>#N/A</v>
      </c>
      <c r="AG87" s="378" t="str">
        <f t="shared" si="38"/>
        <v> </v>
      </c>
      <c r="AH87" s="379" t="e">
        <f t="shared" si="51"/>
        <v>#VALUE!</v>
      </c>
      <c r="AI87" s="378" t="e">
        <f t="shared" si="39"/>
        <v>#VALUE!</v>
      </c>
      <c r="AJ87" s="375" t="e">
        <f t="shared" si="40"/>
        <v>#N/A</v>
      </c>
      <c r="AK87" s="375" t="e">
        <f>VLOOKUP(AJ87,'排出係数表'!$A$4:$C$202,2,FALSE)</f>
        <v>#N/A</v>
      </c>
      <c r="AL87" s="375" t="e">
        <f t="shared" si="41"/>
        <v>#N/A</v>
      </c>
      <c r="AM87" s="375" t="e">
        <f>VLOOKUP(AJ87,'排出係数表'!$A$4:$C$202,3,FALSE)</f>
        <v>#N/A</v>
      </c>
      <c r="AN87" s="375" t="e">
        <f t="shared" si="42"/>
        <v>#N/A</v>
      </c>
      <c r="AO87" s="375">
        <f t="shared" si="43"/>
      </c>
      <c r="AP87" s="379" t="str">
        <f t="shared" si="44"/>
        <v>-</v>
      </c>
      <c r="AQ87" s="375" t="e">
        <f t="shared" si="50"/>
        <v>#VALUE!</v>
      </c>
      <c r="AR87" s="375">
        <f t="shared" si="47"/>
      </c>
    </row>
    <row r="88" spans="1:44" s="380" customFormat="1" ht="13.5" customHeight="1">
      <c r="A88" s="375" t="str">
        <f>IF(ISBLANK(F88)=TRUE," ",IF(ISBLANK('様式2'!$C$23)=TRUE," ",'様式2'!$C$23))</f>
        <v> </v>
      </c>
      <c r="B88" s="375" t="e">
        <f>LOOKUP(LOOKUP(C88,'様式3'!$A$5:$A$44,'様式3'!$C$5:$C$44),'産業分類表'!$D$2:$D$68,'産業分類表'!$E$2:$E$68)</f>
        <v>#N/A</v>
      </c>
      <c r="C88" s="343"/>
      <c r="D88" s="343"/>
      <c r="E88" s="343"/>
      <c r="F88" s="343"/>
      <c r="G88" s="341"/>
      <c r="H88" s="349"/>
      <c r="I88" s="343"/>
      <c r="J88" s="343"/>
      <c r="K88" s="342"/>
      <c r="L88" s="350"/>
      <c r="M88" s="351"/>
      <c r="N88" s="343"/>
      <c r="O88" s="354">
        <f t="shared" si="52"/>
      </c>
      <c r="P88" s="354">
        <f t="shared" si="53"/>
      </c>
      <c r="Q88" s="389"/>
      <c r="R88" s="376">
        <f t="shared" si="48"/>
      </c>
      <c r="S88" s="376">
        <f t="shared" si="49"/>
      </c>
      <c r="T88" s="352"/>
      <c r="U88" s="353"/>
      <c r="V88" s="352"/>
      <c r="W88" s="343"/>
      <c r="X88" s="388">
        <f t="shared" si="45"/>
      </c>
      <c r="Y88" s="375" t="e">
        <f t="shared" si="31"/>
        <v>#N/A</v>
      </c>
      <c r="Z88" s="375" t="e">
        <f t="shared" si="32"/>
        <v>#N/A</v>
      </c>
      <c r="AA88" s="375">
        <f t="shared" si="46"/>
      </c>
      <c r="AB88" s="377">
        <f t="shared" si="33"/>
        <v>1</v>
      </c>
      <c r="AC88" s="375" t="str">
        <f t="shared" si="34"/>
        <v> </v>
      </c>
      <c r="AD88" s="375" t="e">
        <f t="shared" si="35"/>
        <v>#N/A</v>
      </c>
      <c r="AE88" s="375" t="str">
        <f t="shared" si="36"/>
        <v> </v>
      </c>
      <c r="AF88" s="375" t="e">
        <f t="shared" si="37"/>
        <v>#N/A</v>
      </c>
      <c r="AG88" s="378" t="str">
        <f t="shared" si="38"/>
        <v> </v>
      </c>
      <c r="AH88" s="379" t="e">
        <f t="shared" si="51"/>
        <v>#VALUE!</v>
      </c>
      <c r="AI88" s="378" t="e">
        <f t="shared" si="39"/>
        <v>#VALUE!</v>
      </c>
      <c r="AJ88" s="375" t="e">
        <f t="shared" si="40"/>
        <v>#N/A</v>
      </c>
      <c r="AK88" s="375" t="e">
        <f>VLOOKUP(AJ88,'排出係数表'!$A$4:$C$202,2,FALSE)</f>
        <v>#N/A</v>
      </c>
      <c r="AL88" s="375" t="e">
        <f t="shared" si="41"/>
        <v>#N/A</v>
      </c>
      <c r="AM88" s="375" t="e">
        <f>VLOOKUP(AJ88,'排出係数表'!$A$4:$C$202,3,FALSE)</f>
        <v>#N/A</v>
      </c>
      <c r="AN88" s="375" t="e">
        <f t="shared" si="42"/>
        <v>#N/A</v>
      </c>
      <c r="AO88" s="375">
        <f t="shared" si="43"/>
      </c>
      <c r="AP88" s="379" t="str">
        <f t="shared" si="44"/>
        <v>-</v>
      </c>
      <c r="AQ88" s="375" t="e">
        <f t="shared" si="50"/>
        <v>#VALUE!</v>
      </c>
      <c r="AR88" s="375">
        <f t="shared" si="47"/>
      </c>
    </row>
    <row r="89" spans="1:44" s="380" customFormat="1" ht="13.5" customHeight="1">
      <c r="A89" s="375" t="str">
        <f>IF(ISBLANK(F89)=TRUE," ",IF(ISBLANK('様式2'!$C$23)=TRUE," ",'様式2'!$C$23))</f>
        <v> </v>
      </c>
      <c r="B89" s="375" t="e">
        <f>LOOKUP(LOOKUP(C89,'様式3'!$A$5:$A$44,'様式3'!$C$5:$C$44),'産業分類表'!$D$2:$D$68,'産業分類表'!$E$2:$E$68)</f>
        <v>#N/A</v>
      </c>
      <c r="C89" s="343"/>
      <c r="D89" s="343"/>
      <c r="E89" s="343"/>
      <c r="F89" s="343"/>
      <c r="G89" s="341"/>
      <c r="H89" s="349"/>
      <c r="I89" s="343"/>
      <c r="J89" s="343"/>
      <c r="K89" s="342"/>
      <c r="L89" s="350"/>
      <c r="M89" s="351"/>
      <c r="N89" s="343"/>
      <c r="O89" s="354">
        <f t="shared" si="52"/>
      </c>
      <c r="P89" s="354">
        <f t="shared" si="53"/>
      </c>
      <c r="Q89" s="389"/>
      <c r="R89" s="376">
        <f t="shared" si="48"/>
      </c>
      <c r="S89" s="376">
        <f t="shared" si="49"/>
      </c>
      <c r="T89" s="352"/>
      <c r="U89" s="353"/>
      <c r="V89" s="352"/>
      <c r="W89" s="343"/>
      <c r="X89" s="388">
        <f t="shared" si="45"/>
      </c>
      <c r="Y89" s="375" t="e">
        <f t="shared" si="31"/>
        <v>#N/A</v>
      </c>
      <c r="Z89" s="375" t="e">
        <f t="shared" si="32"/>
        <v>#N/A</v>
      </c>
      <c r="AA89" s="375">
        <f t="shared" si="46"/>
      </c>
      <c r="AB89" s="377">
        <f t="shared" si="33"/>
        <v>1</v>
      </c>
      <c r="AC89" s="375" t="str">
        <f t="shared" si="34"/>
        <v> </v>
      </c>
      <c r="AD89" s="375" t="e">
        <f t="shared" si="35"/>
        <v>#N/A</v>
      </c>
      <c r="AE89" s="375" t="str">
        <f t="shared" si="36"/>
        <v> </v>
      </c>
      <c r="AF89" s="375" t="e">
        <f t="shared" si="37"/>
        <v>#N/A</v>
      </c>
      <c r="AG89" s="378" t="str">
        <f t="shared" si="38"/>
        <v> </v>
      </c>
      <c r="AH89" s="379" t="e">
        <f t="shared" si="51"/>
        <v>#VALUE!</v>
      </c>
      <c r="AI89" s="378" t="e">
        <f t="shared" si="39"/>
        <v>#VALUE!</v>
      </c>
      <c r="AJ89" s="375" t="e">
        <f t="shared" si="40"/>
        <v>#N/A</v>
      </c>
      <c r="AK89" s="375" t="e">
        <f>VLOOKUP(AJ89,'排出係数表'!$A$4:$C$202,2,FALSE)</f>
        <v>#N/A</v>
      </c>
      <c r="AL89" s="375" t="e">
        <f t="shared" si="41"/>
        <v>#N/A</v>
      </c>
      <c r="AM89" s="375" t="e">
        <f>VLOOKUP(AJ89,'排出係数表'!$A$4:$C$202,3,FALSE)</f>
        <v>#N/A</v>
      </c>
      <c r="AN89" s="375" t="e">
        <f t="shared" si="42"/>
        <v>#N/A</v>
      </c>
      <c r="AO89" s="375">
        <f t="shared" si="43"/>
      </c>
      <c r="AP89" s="379" t="str">
        <f t="shared" si="44"/>
        <v>-</v>
      </c>
      <c r="AQ89" s="375" t="e">
        <f t="shared" si="50"/>
        <v>#VALUE!</v>
      </c>
      <c r="AR89" s="375">
        <f t="shared" si="47"/>
      </c>
    </row>
    <row r="90" spans="1:44" s="380" customFormat="1" ht="13.5" customHeight="1">
      <c r="A90" s="375" t="str">
        <f>IF(ISBLANK(F90)=TRUE," ",IF(ISBLANK('様式2'!$C$23)=TRUE," ",'様式2'!$C$23))</f>
        <v> </v>
      </c>
      <c r="B90" s="375" t="e">
        <f>LOOKUP(LOOKUP(C90,'様式3'!$A$5:$A$44,'様式3'!$C$5:$C$44),'産業分類表'!$D$2:$D$68,'産業分類表'!$E$2:$E$68)</f>
        <v>#N/A</v>
      </c>
      <c r="C90" s="343"/>
      <c r="D90" s="343"/>
      <c r="E90" s="343"/>
      <c r="F90" s="343"/>
      <c r="G90" s="341"/>
      <c r="H90" s="349"/>
      <c r="I90" s="343"/>
      <c r="J90" s="343"/>
      <c r="K90" s="342"/>
      <c r="L90" s="350"/>
      <c r="M90" s="351"/>
      <c r="N90" s="343"/>
      <c r="O90" s="354">
        <f t="shared" si="52"/>
      </c>
      <c r="P90" s="354">
        <f t="shared" si="53"/>
      </c>
      <c r="Q90" s="389"/>
      <c r="R90" s="376">
        <f t="shared" si="48"/>
      </c>
      <c r="S90" s="376">
        <f t="shared" si="49"/>
      </c>
      <c r="T90" s="352"/>
      <c r="U90" s="353"/>
      <c r="V90" s="352"/>
      <c r="W90" s="343"/>
      <c r="X90" s="388">
        <f t="shared" si="45"/>
      </c>
      <c r="Y90" s="375" t="e">
        <f t="shared" si="31"/>
        <v>#N/A</v>
      </c>
      <c r="Z90" s="375" t="e">
        <f t="shared" si="32"/>
        <v>#N/A</v>
      </c>
      <c r="AA90" s="375">
        <f t="shared" si="46"/>
      </c>
      <c r="AB90" s="377">
        <f t="shared" si="33"/>
        <v>1</v>
      </c>
      <c r="AC90" s="375" t="str">
        <f t="shared" si="34"/>
        <v> </v>
      </c>
      <c r="AD90" s="375" t="e">
        <f t="shared" si="35"/>
        <v>#N/A</v>
      </c>
      <c r="AE90" s="375" t="str">
        <f t="shared" si="36"/>
        <v> </v>
      </c>
      <c r="AF90" s="375" t="e">
        <f t="shared" si="37"/>
        <v>#N/A</v>
      </c>
      <c r="AG90" s="378" t="str">
        <f t="shared" si="38"/>
        <v> </v>
      </c>
      <c r="AH90" s="379" t="e">
        <f t="shared" si="51"/>
        <v>#VALUE!</v>
      </c>
      <c r="AI90" s="378" t="e">
        <f t="shared" si="39"/>
        <v>#VALUE!</v>
      </c>
      <c r="AJ90" s="375" t="e">
        <f t="shared" si="40"/>
        <v>#N/A</v>
      </c>
      <c r="AK90" s="375" t="e">
        <f>VLOOKUP(AJ90,'排出係数表'!$A$4:$C$202,2,FALSE)</f>
        <v>#N/A</v>
      </c>
      <c r="AL90" s="375" t="e">
        <f t="shared" si="41"/>
        <v>#N/A</v>
      </c>
      <c r="AM90" s="375" t="e">
        <f>VLOOKUP(AJ90,'排出係数表'!$A$4:$C$202,3,FALSE)</f>
        <v>#N/A</v>
      </c>
      <c r="AN90" s="375" t="e">
        <f t="shared" si="42"/>
        <v>#N/A</v>
      </c>
      <c r="AO90" s="375">
        <f t="shared" si="43"/>
      </c>
      <c r="AP90" s="379" t="str">
        <f t="shared" si="44"/>
        <v>-</v>
      </c>
      <c r="AQ90" s="375" t="e">
        <f t="shared" si="50"/>
        <v>#VALUE!</v>
      </c>
      <c r="AR90" s="375">
        <f t="shared" si="47"/>
      </c>
    </row>
    <row r="91" spans="1:44" s="380" customFormat="1" ht="13.5" customHeight="1">
      <c r="A91" s="375" t="str">
        <f>IF(ISBLANK(F91)=TRUE," ",IF(ISBLANK('様式2'!$C$23)=TRUE," ",'様式2'!$C$23))</f>
        <v> </v>
      </c>
      <c r="B91" s="375" t="e">
        <f>LOOKUP(LOOKUP(C91,'様式3'!$A$5:$A$44,'様式3'!$C$5:$C$44),'産業分類表'!$D$2:$D$68,'産業分類表'!$E$2:$E$68)</f>
        <v>#N/A</v>
      </c>
      <c r="C91" s="343"/>
      <c r="D91" s="343"/>
      <c r="E91" s="343"/>
      <c r="F91" s="343"/>
      <c r="G91" s="341"/>
      <c r="H91" s="349"/>
      <c r="I91" s="343"/>
      <c r="J91" s="343"/>
      <c r="K91" s="342"/>
      <c r="L91" s="350"/>
      <c r="M91" s="351"/>
      <c r="N91" s="343"/>
      <c r="O91" s="354">
        <f t="shared" si="52"/>
      </c>
      <c r="P91" s="354">
        <f t="shared" si="53"/>
      </c>
      <c r="Q91" s="389"/>
      <c r="R91" s="376">
        <f t="shared" si="48"/>
      </c>
      <c r="S91" s="376">
        <f t="shared" si="49"/>
      </c>
      <c r="T91" s="352"/>
      <c r="U91" s="353"/>
      <c r="V91" s="352"/>
      <c r="W91" s="343"/>
      <c r="X91" s="388">
        <f t="shared" si="45"/>
      </c>
      <c r="Y91" s="375" t="e">
        <f t="shared" si="31"/>
        <v>#N/A</v>
      </c>
      <c r="Z91" s="375" t="e">
        <f t="shared" si="32"/>
        <v>#N/A</v>
      </c>
      <c r="AA91" s="375">
        <f t="shared" si="46"/>
      </c>
      <c r="AB91" s="377">
        <f t="shared" si="33"/>
        <v>1</v>
      </c>
      <c r="AC91" s="375" t="str">
        <f t="shared" si="34"/>
        <v> </v>
      </c>
      <c r="AD91" s="375" t="e">
        <f t="shared" si="35"/>
        <v>#N/A</v>
      </c>
      <c r="AE91" s="375" t="str">
        <f t="shared" si="36"/>
        <v> </v>
      </c>
      <c r="AF91" s="375" t="e">
        <f t="shared" si="37"/>
        <v>#N/A</v>
      </c>
      <c r="AG91" s="378" t="str">
        <f t="shared" si="38"/>
        <v> </v>
      </c>
      <c r="AH91" s="379" t="e">
        <f t="shared" si="51"/>
        <v>#VALUE!</v>
      </c>
      <c r="AI91" s="378" t="e">
        <f t="shared" si="39"/>
        <v>#VALUE!</v>
      </c>
      <c r="AJ91" s="375" t="e">
        <f t="shared" si="40"/>
        <v>#N/A</v>
      </c>
      <c r="AK91" s="375" t="e">
        <f>VLOOKUP(AJ91,'排出係数表'!$A$4:$C$202,2,FALSE)</f>
        <v>#N/A</v>
      </c>
      <c r="AL91" s="375" t="e">
        <f t="shared" si="41"/>
        <v>#N/A</v>
      </c>
      <c r="AM91" s="375" t="e">
        <f>VLOOKUP(AJ91,'排出係数表'!$A$4:$C$202,3,FALSE)</f>
        <v>#N/A</v>
      </c>
      <c r="AN91" s="375" t="e">
        <f t="shared" si="42"/>
        <v>#N/A</v>
      </c>
      <c r="AO91" s="375">
        <f t="shared" si="43"/>
      </c>
      <c r="AP91" s="379" t="str">
        <f t="shared" si="44"/>
        <v>-</v>
      </c>
      <c r="AQ91" s="375" t="e">
        <f t="shared" si="50"/>
        <v>#VALUE!</v>
      </c>
      <c r="AR91" s="375">
        <f t="shared" si="47"/>
      </c>
    </row>
    <row r="92" spans="1:44" s="380" customFormat="1" ht="13.5" customHeight="1">
      <c r="A92" s="375" t="str">
        <f>IF(ISBLANK(F92)=TRUE," ",IF(ISBLANK('様式2'!$C$23)=TRUE," ",'様式2'!$C$23))</f>
        <v> </v>
      </c>
      <c r="B92" s="375" t="e">
        <f>LOOKUP(LOOKUP(C92,'様式3'!$A$5:$A$44,'様式3'!$C$5:$C$44),'産業分類表'!$D$2:$D$68,'産業分類表'!$E$2:$E$68)</f>
        <v>#N/A</v>
      </c>
      <c r="C92" s="343"/>
      <c r="D92" s="343"/>
      <c r="E92" s="343"/>
      <c r="F92" s="343"/>
      <c r="G92" s="341"/>
      <c r="H92" s="349"/>
      <c r="I92" s="343"/>
      <c r="J92" s="343"/>
      <c r="K92" s="342"/>
      <c r="L92" s="350"/>
      <c r="M92" s="351"/>
      <c r="N92" s="343"/>
      <c r="O92" s="354">
        <f t="shared" si="52"/>
      </c>
      <c r="P92" s="354">
        <f t="shared" si="53"/>
      </c>
      <c r="Q92" s="389"/>
      <c r="R92" s="376">
        <f t="shared" si="48"/>
      </c>
      <c r="S92" s="376">
        <f t="shared" si="49"/>
      </c>
      <c r="T92" s="352"/>
      <c r="U92" s="353"/>
      <c r="V92" s="352"/>
      <c r="W92" s="343"/>
      <c r="X92" s="388">
        <f t="shared" si="45"/>
      </c>
      <c r="Y92" s="375" t="e">
        <f t="shared" si="31"/>
        <v>#N/A</v>
      </c>
      <c r="Z92" s="375" t="e">
        <f t="shared" si="32"/>
        <v>#N/A</v>
      </c>
      <c r="AA92" s="375">
        <f t="shared" si="46"/>
      </c>
      <c r="AB92" s="377">
        <f t="shared" si="33"/>
        <v>1</v>
      </c>
      <c r="AC92" s="375" t="str">
        <f t="shared" si="34"/>
        <v> </v>
      </c>
      <c r="AD92" s="375" t="e">
        <f t="shared" si="35"/>
        <v>#N/A</v>
      </c>
      <c r="AE92" s="375" t="str">
        <f t="shared" si="36"/>
        <v> </v>
      </c>
      <c r="AF92" s="375" t="e">
        <f t="shared" si="37"/>
        <v>#N/A</v>
      </c>
      <c r="AG92" s="378" t="str">
        <f t="shared" si="38"/>
        <v> </v>
      </c>
      <c r="AH92" s="379" t="e">
        <f t="shared" si="51"/>
        <v>#VALUE!</v>
      </c>
      <c r="AI92" s="378" t="e">
        <f t="shared" si="39"/>
        <v>#VALUE!</v>
      </c>
      <c r="AJ92" s="375" t="e">
        <f t="shared" si="40"/>
        <v>#N/A</v>
      </c>
      <c r="AK92" s="375" t="e">
        <f>VLOOKUP(AJ92,'排出係数表'!$A$4:$C$202,2,FALSE)</f>
        <v>#N/A</v>
      </c>
      <c r="AL92" s="375" t="e">
        <f t="shared" si="41"/>
        <v>#N/A</v>
      </c>
      <c r="AM92" s="375" t="e">
        <f>VLOOKUP(AJ92,'排出係数表'!$A$4:$C$202,3,FALSE)</f>
        <v>#N/A</v>
      </c>
      <c r="AN92" s="375" t="e">
        <f t="shared" si="42"/>
        <v>#N/A</v>
      </c>
      <c r="AO92" s="375">
        <f t="shared" si="43"/>
      </c>
      <c r="AP92" s="379" t="str">
        <f t="shared" si="44"/>
        <v>-</v>
      </c>
      <c r="AQ92" s="375" t="e">
        <f t="shared" si="50"/>
        <v>#VALUE!</v>
      </c>
      <c r="AR92" s="375">
        <f t="shared" si="47"/>
      </c>
    </row>
    <row r="93" spans="1:44" s="380" customFormat="1" ht="13.5" customHeight="1">
      <c r="A93" s="375" t="str">
        <f>IF(ISBLANK(F93)=TRUE," ",IF(ISBLANK('様式2'!$C$23)=TRUE," ",'様式2'!$C$23))</f>
        <v> </v>
      </c>
      <c r="B93" s="375" t="e">
        <f>LOOKUP(LOOKUP(C93,'様式3'!$A$5:$A$44,'様式3'!$C$5:$C$44),'産業分類表'!$D$2:$D$68,'産業分類表'!$E$2:$E$68)</f>
        <v>#N/A</v>
      </c>
      <c r="C93" s="343"/>
      <c r="D93" s="343"/>
      <c r="E93" s="343"/>
      <c r="F93" s="343"/>
      <c r="G93" s="341"/>
      <c r="H93" s="349"/>
      <c r="I93" s="343"/>
      <c r="J93" s="343"/>
      <c r="K93" s="342"/>
      <c r="L93" s="350"/>
      <c r="M93" s="351"/>
      <c r="N93" s="343"/>
      <c r="O93" s="354">
        <f t="shared" si="52"/>
      </c>
      <c r="P93" s="354">
        <f t="shared" si="53"/>
      </c>
      <c r="Q93" s="389"/>
      <c r="R93" s="376">
        <f t="shared" si="48"/>
      </c>
      <c r="S93" s="376">
        <f t="shared" si="49"/>
      </c>
      <c r="T93" s="352"/>
      <c r="U93" s="353"/>
      <c r="V93" s="352"/>
      <c r="W93" s="343"/>
      <c r="X93" s="388">
        <f t="shared" si="45"/>
      </c>
      <c r="Y93" s="375" t="e">
        <f t="shared" si="31"/>
        <v>#N/A</v>
      </c>
      <c r="Z93" s="375" t="e">
        <f t="shared" si="32"/>
        <v>#N/A</v>
      </c>
      <c r="AA93" s="375">
        <f t="shared" si="46"/>
      </c>
      <c r="AB93" s="377">
        <f t="shared" si="33"/>
        <v>1</v>
      </c>
      <c r="AC93" s="375" t="str">
        <f t="shared" si="34"/>
        <v> </v>
      </c>
      <c r="AD93" s="375" t="e">
        <f t="shared" si="35"/>
        <v>#N/A</v>
      </c>
      <c r="AE93" s="375" t="str">
        <f t="shared" si="36"/>
        <v> </v>
      </c>
      <c r="AF93" s="375" t="e">
        <f t="shared" si="37"/>
        <v>#N/A</v>
      </c>
      <c r="AG93" s="378" t="str">
        <f t="shared" si="38"/>
        <v> </v>
      </c>
      <c r="AH93" s="379" t="e">
        <f t="shared" si="51"/>
        <v>#VALUE!</v>
      </c>
      <c r="AI93" s="378" t="e">
        <f t="shared" si="39"/>
        <v>#VALUE!</v>
      </c>
      <c r="AJ93" s="375" t="e">
        <f t="shared" si="40"/>
        <v>#N/A</v>
      </c>
      <c r="AK93" s="375" t="e">
        <f>VLOOKUP(AJ93,'排出係数表'!$A$4:$C$202,2,FALSE)</f>
        <v>#N/A</v>
      </c>
      <c r="AL93" s="375" t="e">
        <f t="shared" si="41"/>
        <v>#N/A</v>
      </c>
      <c r="AM93" s="375" t="e">
        <f>VLOOKUP(AJ93,'排出係数表'!$A$4:$C$202,3,FALSE)</f>
        <v>#N/A</v>
      </c>
      <c r="AN93" s="375" t="e">
        <f t="shared" si="42"/>
        <v>#N/A</v>
      </c>
      <c r="AO93" s="375">
        <f t="shared" si="43"/>
      </c>
      <c r="AP93" s="379" t="str">
        <f t="shared" si="44"/>
        <v>-</v>
      </c>
      <c r="AQ93" s="375" t="e">
        <f t="shared" si="50"/>
        <v>#VALUE!</v>
      </c>
      <c r="AR93" s="375">
        <f t="shared" si="47"/>
      </c>
    </row>
    <row r="94" spans="1:44" s="380" customFormat="1" ht="13.5" customHeight="1">
      <c r="A94" s="375" t="str">
        <f>IF(ISBLANK(F94)=TRUE," ",IF(ISBLANK('様式2'!$C$23)=TRUE," ",'様式2'!$C$23))</f>
        <v> </v>
      </c>
      <c r="B94" s="375" t="e">
        <f>LOOKUP(LOOKUP(C94,'様式3'!$A$5:$A$44,'様式3'!$C$5:$C$44),'産業分類表'!$D$2:$D$68,'産業分類表'!$E$2:$E$68)</f>
        <v>#N/A</v>
      </c>
      <c r="C94" s="343"/>
      <c r="D94" s="343"/>
      <c r="E94" s="343"/>
      <c r="F94" s="343"/>
      <c r="G94" s="341"/>
      <c r="H94" s="349"/>
      <c r="I94" s="343"/>
      <c r="J94" s="343"/>
      <c r="K94" s="342"/>
      <c r="L94" s="350"/>
      <c r="M94" s="351"/>
      <c r="N94" s="343"/>
      <c r="O94" s="354">
        <f t="shared" si="52"/>
      </c>
      <c r="P94" s="354">
        <f t="shared" si="53"/>
      </c>
      <c r="Q94" s="389"/>
      <c r="R94" s="376">
        <f t="shared" si="48"/>
      </c>
      <c r="S94" s="376">
        <f t="shared" si="49"/>
      </c>
      <c r="T94" s="352"/>
      <c r="U94" s="353"/>
      <c r="V94" s="352"/>
      <c r="W94" s="343"/>
      <c r="X94" s="388">
        <f t="shared" si="45"/>
      </c>
      <c r="Y94" s="375" t="e">
        <f t="shared" si="31"/>
        <v>#N/A</v>
      </c>
      <c r="Z94" s="375" t="e">
        <f t="shared" si="32"/>
        <v>#N/A</v>
      </c>
      <c r="AA94" s="375">
        <f t="shared" si="46"/>
      </c>
      <c r="AB94" s="377">
        <f t="shared" si="33"/>
        <v>1</v>
      </c>
      <c r="AC94" s="375" t="str">
        <f t="shared" si="34"/>
        <v> </v>
      </c>
      <c r="AD94" s="375" t="e">
        <f t="shared" si="35"/>
        <v>#N/A</v>
      </c>
      <c r="AE94" s="375" t="str">
        <f t="shared" si="36"/>
        <v> </v>
      </c>
      <c r="AF94" s="375" t="e">
        <f t="shared" si="37"/>
        <v>#N/A</v>
      </c>
      <c r="AG94" s="378" t="str">
        <f t="shared" si="38"/>
        <v> </v>
      </c>
      <c r="AH94" s="379" t="e">
        <f t="shared" si="51"/>
        <v>#VALUE!</v>
      </c>
      <c r="AI94" s="378" t="e">
        <f t="shared" si="39"/>
        <v>#VALUE!</v>
      </c>
      <c r="AJ94" s="375" t="e">
        <f t="shared" si="40"/>
        <v>#N/A</v>
      </c>
      <c r="AK94" s="375" t="e">
        <f>VLOOKUP(AJ94,'排出係数表'!$A$4:$C$202,2,FALSE)</f>
        <v>#N/A</v>
      </c>
      <c r="AL94" s="375" t="e">
        <f t="shared" si="41"/>
        <v>#N/A</v>
      </c>
      <c r="AM94" s="375" t="e">
        <f>VLOOKUP(AJ94,'排出係数表'!$A$4:$C$202,3,FALSE)</f>
        <v>#N/A</v>
      </c>
      <c r="AN94" s="375" t="e">
        <f t="shared" si="42"/>
        <v>#N/A</v>
      </c>
      <c r="AO94" s="375">
        <f t="shared" si="43"/>
      </c>
      <c r="AP94" s="379" t="str">
        <f t="shared" si="44"/>
        <v>-</v>
      </c>
      <c r="AQ94" s="375" t="e">
        <f t="shared" si="50"/>
        <v>#VALUE!</v>
      </c>
      <c r="AR94" s="375">
        <f t="shared" si="47"/>
      </c>
    </row>
    <row r="95" spans="1:44" s="380" customFormat="1" ht="13.5" customHeight="1">
      <c r="A95" s="375" t="str">
        <f>IF(ISBLANK(F95)=TRUE," ",IF(ISBLANK('様式2'!$C$23)=TRUE," ",'様式2'!$C$23))</f>
        <v> </v>
      </c>
      <c r="B95" s="375" t="e">
        <f>LOOKUP(LOOKUP(C95,'様式3'!$A$5:$A$44,'様式3'!$C$5:$C$44),'産業分類表'!$D$2:$D$68,'産業分類表'!$E$2:$E$68)</f>
        <v>#N/A</v>
      </c>
      <c r="C95" s="343"/>
      <c r="D95" s="343"/>
      <c r="E95" s="343"/>
      <c r="F95" s="343"/>
      <c r="G95" s="341"/>
      <c r="H95" s="349"/>
      <c r="I95" s="343"/>
      <c r="J95" s="343"/>
      <c r="K95" s="342"/>
      <c r="L95" s="350"/>
      <c r="M95" s="351"/>
      <c r="N95" s="343"/>
      <c r="O95" s="354">
        <f t="shared" si="52"/>
      </c>
      <c r="P95" s="354">
        <f t="shared" si="53"/>
      </c>
      <c r="Q95" s="389"/>
      <c r="R95" s="376">
        <f t="shared" si="48"/>
      </c>
      <c r="S95" s="376">
        <f t="shared" si="49"/>
      </c>
      <c r="T95" s="352"/>
      <c r="U95" s="353"/>
      <c r="V95" s="352"/>
      <c r="W95" s="343"/>
      <c r="X95" s="388">
        <f t="shared" si="45"/>
      </c>
      <c r="Y95" s="375" t="e">
        <f t="shared" si="31"/>
        <v>#N/A</v>
      </c>
      <c r="Z95" s="375" t="e">
        <f t="shared" si="32"/>
        <v>#N/A</v>
      </c>
      <c r="AA95" s="375">
        <f t="shared" si="46"/>
      </c>
      <c r="AB95" s="377">
        <f t="shared" si="33"/>
        <v>1</v>
      </c>
      <c r="AC95" s="375" t="str">
        <f t="shared" si="34"/>
        <v> </v>
      </c>
      <c r="AD95" s="375" t="e">
        <f t="shared" si="35"/>
        <v>#N/A</v>
      </c>
      <c r="AE95" s="375" t="str">
        <f t="shared" si="36"/>
        <v> </v>
      </c>
      <c r="AF95" s="375" t="e">
        <f t="shared" si="37"/>
        <v>#N/A</v>
      </c>
      <c r="AG95" s="378" t="str">
        <f t="shared" si="38"/>
        <v> </v>
      </c>
      <c r="AH95" s="379" t="e">
        <f t="shared" si="51"/>
        <v>#VALUE!</v>
      </c>
      <c r="AI95" s="378" t="e">
        <f t="shared" si="39"/>
        <v>#VALUE!</v>
      </c>
      <c r="AJ95" s="375" t="e">
        <f t="shared" si="40"/>
        <v>#N/A</v>
      </c>
      <c r="AK95" s="375" t="e">
        <f>VLOOKUP(AJ95,'排出係数表'!$A$4:$C$202,2,FALSE)</f>
        <v>#N/A</v>
      </c>
      <c r="AL95" s="375" t="e">
        <f t="shared" si="41"/>
        <v>#N/A</v>
      </c>
      <c r="AM95" s="375" t="e">
        <f>VLOOKUP(AJ95,'排出係数表'!$A$4:$C$202,3,FALSE)</f>
        <v>#N/A</v>
      </c>
      <c r="AN95" s="375" t="e">
        <f t="shared" si="42"/>
        <v>#N/A</v>
      </c>
      <c r="AO95" s="375">
        <f t="shared" si="43"/>
      </c>
      <c r="AP95" s="379" t="str">
        <f t="shared" si="44"/>
        <v>-</v>
      </c>
      <c r="AQ95" s="375" t="e">
        <f t="shared" si="50"/>
        <v>#VALUE!</v>
      </c>
      <c r="AR95" s="375">
        <f t="shared" si="47"/>
      </c>
    </row>
    <row r="96" spans="1:44" s="380" customFormat="1" ht="13.5" customHeight="1">
      <c r="A96" s="375" t="str">
        <f>IF(ISBLANK(F96)=TRUE," ",IF(ISBLANK('様式2'!$C$23)=TRUE," ",'様式2'!$C$23))</f>
        <v> </v>
      </c>
      <c r="B96" s="375" t="e">
        <f>LOOKUP(LOOKUP(C96,'様式3'!$A$5:$A$44,'様式3'!$C$5:$C$44),'産業分類表'!$D$2:$D$68,'産業分類表'!$E$2:$E$68)</f>
        <v>#N/A</v>
      </c>
      <c r="C96" s="343"/>
      <c r="D96" s="343"/>
      <c r="E96" s="343"/>
      <c r="F96" s="343"/>
      <c r="G96" s="341"/>
      <c r="H96" s="349"/>
      <c r="I96" s="343"/>
      <c r="J96" s="343"/>
      <c r="K96" s="342"/>
      <c r="L96" s="350"/>
      <c r="M96" s="351"/>
      <c r="N96" s="343"/>
      <c r="O96" s="354">
        <f t="shared" si="52"/>
      </c>
      <c r="P96" s="354">
        <f t="shared" si="53"/>
      </c>
      <c r="Q96" s="389"/>
      <c r="R96" s="376">
        <f t="shared" si="48"/>
      </c>
      <c r="S96" s="376">
        <f t="shared" si="49"/>
      </c>
      <c r="T96" s="352"/>
      <c r="U96" s="353"/>
      <c r="V96" s="352"/>
      <c r="W96" s="343"/>
      <c r="X96" s="388">
        <f t="shared" si="45"/>
      </c>
      <c r="Y96" s="375" t="e">
        <f t="shared" si="31"/>
        <v>#N/A</v>
      </c>
      <c r="Z96" s="375" t="e">
        <f t="shared" si="32"/>
        <v>#N/A</v>
      </c>
      <c r="AA96" s="375">
        <f t="shared" si="46"/>
      </c>
      <c r="AB96" s="377">
        <f t="shared" si="33"/>
        <v>1</v>
      </c>
      <c r="AC96" s="375" t="str">
        <f t="shared" si="34"/>
        <v> </v>
      </c>
      <c r="AD96" s="375" t="e">
        <f t="shared" si="35"/>
        <v>#N/A</v>
      </c>
      <c r="AE96" s="375" t="str">
        <f t="shared" si="36"/>
        <v> </v>
      </c>
      <c r="AF96" s="375" t="e">
        <f t="shared" si="37"/>
        <v>#N/A</v>
      </c>
      <c r="AG96" s="378" t="str">
        <f t="shared" si="38"/>
        <v> </v>
      </c>
      <c r="AH96" s="379" t="e">
        <f t="shared" si="51"/>
        <v>#VALUE!</v>
      </c>
      <c r="AI96" s="378" t="e">
        <f t="shared" si="39"/>
        <v>#VALUE!</v>
      </c>
      <c r="AJ96" s="375" t="e">
        <f t="shared" si="40"/>
        <v>#N/A</v>
      </c>
      <c r="AK96" s="375" t="e">
        <f>VLOOKUP(AJ96,'排出係数表'!$A$4:$C$202,2,FALSE)</f>
        <v>#N/A</v>
      </c>
      <c r="AL96" s="375" t="e">
        <f t="shared" si="41"/>
        <v>#N/A</v>
      </c>
      <c r="AM96" s="375" t="e">
        <f>VLOOKUP(AJ96,'排出係数表'!$A$4:$C$202,3,FALSE)</f>
        <v>#N/A</v>
      </c>
      <c r="AN96" s="375" t="e">
        <f t="shared" si="42"/>
        <v>#N/A</v>
      </c>
      <c r="AO96" s="375">
        <f t="shared" si="43"/>
      </c>
      <c r="AP96" s="379" t="str">
        <f t="shared" si="44"/>
        <v>-</v>
      </c>
      <c r="AQ96" s="375" t="e">
        <f t="shared" si="50"/>
        <v>#VALUE!</v>
      </c>
      <c r="AR96" s="375">
        <f t="shared" si="47"/>
      </c>
    </row>
    <row r="97" spans="1:44" s="380" customFormat="1" ht="13.5" customHeight="1">
      <c r="A97" s="375" t="str">
        <f>IF(ISBLANK(F97)=TRUE," ",IF(ISBLANK('様式2'!$C$23)=TRUE," ",'様式2'!$C$23))</f>
        <v> </v>
      </c>
      <c r="B97" s="375" t="e">
        <f>LOOKUP(LOOKUP(C97,'様式3'!$A$5:$A$44,'様式3'!$C$5:$C$44),'産業分類表'!$D$2:$D$68,'産業分類表'!$E$2:$E$68)</f>
        <v>#N/A</v>
      </c>
      <c r="C97" s="343"/>
      <c r="D97" s="343"/>
      <c r="E97" s="343"/>
      <c r="F97" s="343"/>
      <c r="G97" s="341"/>
      <c r="H97" s="349"/>
      <c r="I97" s="343"/>
      <c r="J97" s="343"/>
      <c r="K97" s="342"/>
      <c r="L97" s="350"/>
      <c r="M97" s="351"/>
      <c r="N97" s="343"/>
      <c r="O97" s="354">
        <f t="shared" si="52"/>
      </c>
      <c r="P97" s="354">
        <f t="shared" si="53"/>
      </c>
      <c r="Q97" s="389"/>
      <c r="R97" s="376">
        <f t="shared" si="48"/>
      </c>
      <c r="S97" s="376">
        <f t="shared" si="49"/>
      </c>
      <c r="T97" s="352"/>
      <c r="U97" s="353"/>
      <c r="V97" s="352"/>
      <c r="W97" s="343"/>
      <c r="X97" s="388">
        <f t="shared" si="45"/>
      </c>
      <c r="Y97" s="375" t="e">
        <f t="shared" si="31"/>
        <v>#N/A</v>
      </c>
      <c r="Z97" s="375" t="e">
        <f t="shared" si="32"/>
        <v>#N/A</v>
      </c>
      <c r="AA97" s="375">
        <f t="shared" si="46"/>
      </c>
      <c r="AB97" s="377">
        <f t="shared" si="33"/>
        <v>1</v>
      </c>
      <c r="AC97" s="375" t="str">
        <f t="shared" si="34"/>
        <v> </v>
      </c>
      <c r="AD97" s="375" t="e">
        <f t="shared" si="35"/>
        <v>#N/A</v>
      </c>
      <c r="AE97" s="375" t="str">
        <f t="shared" si="36"/>
        <v> </v>
      </c>
      <c r="AF97" s="375" t="e">
        <f t="shared" si="37"/>
        <v>#N/A</v>
      </c>
      <c r="AG97" s="378" t="str">
        <f t="shared" si="38"/>
        <v> </v>
      </c>
      <c r="AH97" s="379" t="e">
        <f t="shared" si="51"/>
        <v>#VALUE!</v>
      </c>
      <c r="AI97" s="378" t="e">
        <f t="shared" si="39"/>
        <v>#VALUE!</v>
      </c>
      <c r="AJ97" s="375" t="e">
        <f t="shared" si="40"/>
        <v>#N/A</v>
      </c>
      <c r="AK97" s="375" t="e">
        <f>VLOOKUP(AJ97,'排出係数表'!$A$4:$C$202,2,FALSE)</f>
        <v>#N/A</v>
      </c>
      <c r="AL97" s="375" t="e">
        <f t="shared" si="41"/>
        <v>#N/A</v>
      </c>
      <c r="AM97" s="375" t="e">
        <f>VLOOKUP(AJ97,'排出係数表'!$A$4:$C$202,3,FALSE)</f>
        <v>#N/A</v>
      </c>
      <c r="AN97" s="375" t="e">
        <f t="shared" si="42"/>
        <v>#N/A</v>
      </c>
      <c r="AO97" s="375">
        <f t="shared" si="43"/>
      </c>
      <c r="AP97" s="379" t="str">
        <f t="shared" si="44"/>
        <v>-</v>
      </c>
      <c r="AQ97" s="375" t="e">
        <f t="shared" si="50"/>
        <v>#VALUE!</v>
      </c>
      <c r="AR97" s="375">
        <f t="shared" si="47"/>
      </c>
    </row>
    <row r="98" spans="1:44" s="380" customFormat="1" ht="13.5" customHeight="1">
      <c r="A98" s="375" t="str">
        <f>IF(ISBLANK(F98)=TRUE," ",IF(ISBLANK('様式2'!$C$23)=TRUE," ",'様式2'!$C$23))</f>
        <v> </v>
      </c>
      <c r="B98" s="375" t="e">
        <f>LOOKUP(LOOKUP(C98,'様式3'!$A$5:$A$44,'様式3'!$C$5:$C$44),'産業分類表'!$D$2:$D$68,'産業分類表'!$E$2:$E$68)</f>
        <v>#N/A</v>
      </c>
      <c r="C98" s="343"/>
      <c r="D98" s="343"/>
      <c r="E98" s="343"/>
      <c r="F98" s="343"/>
      <c r="G98" s="341"/>
      <c r="H98" s="349"/>
      <c r="I98" s="343"/>
      <c r="J98" s="343"/>
      <c r="K98" s="342"/>
      <c r="L98" s="350"/>
      <c r="M98" s="351"/>
      <c r="N98" s="343"/>
      <c r="O98" s="354">
        <f t="shared" si="52"/>
      </c>
      <c r="P98" s="354">
        <f t="shared" si="53"/>
      </c>
      <c r="Q98" s="389"/>
      <c r="R98" s="376">
        <f t="shared" si="48"/>
      </c>
      <c r="S98" s="376">
        <f t="shared" si="49"/>
      </c>
      <c r="T98" s="352"/>
      <c r="U98" s="353"/>
      <c r="V98" s="352"/>
      <c r="W98" s="343"/>
      <c r="X98" s="388">
        <f t="shared" si="45"/>
      </c>
      <c r="Y98" s="375" t="e">
        <f t="shared" si="31"/>
        <v>#N/A</v>
      </c>
      <c r="Z98" s="375" t="e">
        <f t="shared" si="32"/>
        <v>#N/A</v>
      </c>
      <c r="AA98" s="375">
        <f t="shared" si="46"/>
      </c>
      <c r="AB98" s="377">
        <f t="shared" si="33"/>
        <v>1</v>
      </c>
      <c r="AC98" s="375" t="str">
        <f t="shared" si="34"/>
        <v> </v>
      </c>
      <c r="AD98" s="375" t="e">
        <f t="shared" si="35"/>
        <v>#N/A</v>
      </c>
      <c r="AE98" s="375" t="str">
        <f t="shared" si="36"/>
        <v> </v>
      </c>
      <c r="AF98" s="375" t="e">
        <f t="shared" si="37"/>
        <v>#N/A</v>
      </c>
      <c r="AG98" s="378" t="str">
        <f t="shared" si="38"/>
        <v> </v>
      </c>
      <c r="AH98" s="379" t="e">
        <f t="shared" si="51"/>
        <v>#VALUE!</v>
      </c>
      <c r="AI98" s="378" t="e">
        <f t="shared" si="39"/>
        <v>#VALUE!</v>
      </c>
      <c r="AJ98" s="375" t="e">
        <f t="shared" si="40"/>
        <v>#N/A</v>
      </c>
      <c r="AK98" s="375" t="e">
        <f>VLOOKUP(AJ98,'排出係数表'!$A$4:$C$202,2,FALSE)</f>
        <v>#N/A</v>
      </c>
      <c r="AL98" s="375" t="e">
        <f t="shared" si="41"/>
        <v>#N/A</v>
      </c>
      <c r="AM98" s="375" t="e">
        <f>VLOOKUP(AJ98,'排出係数表'!$A$4:$C$202,3,FALSE)</f>
        <v>#N/A</v>
      </c>
      <c r="AN98" s="375" t="e">
        <f t="shared" si="42"/>
        <v>#N/A</v>
      </c>
      <c r="AO98" s="375">
        <f t="shared" si="43"/>
      </c>
      <c r="AP98" s="379" t="str">
        <f t="shared" si="44"/>
        <v>-</v>
      </c>
      <c r="AQ98" s="375" t="e">
        <f t="shared" si="50"/>
        <v>#VALUE!</v>
      </c>
      <c r="AR98" s="375">
        <f t="shared" si="47"/>
      </c>
    </row>
    <row r="99" spans="1:44" s="380" customFormat="1" ht="13.5" customHeight="1">
      <c r="A99" s="375" t="str">
        <f>IF(ISBLANK(F99)=TRUE," ",IF(ISBLANK('様式2'!$C$23)=TRUE," ",'様式2'!$C$23))</f>
        <v> </v>
      </c>
      <c r="B99" s="375" t="e">
        <f>LOOKUP(LOOKUP(C99,'様式3'!$A$5:$A$44,'様式3'!$C$5:$C$44),'産業分類表'!$D$2:$D$68,'産業分類表'!$E$2:$E$68)</f>
        <v>#N/A</v>
      </c>
      <c r="C99" s="343"/>
      <c r="D99" s="343"/>
      <c r="E99" s="343"/>
      <c r="F99" s="343"/>
      <c r="G99" s="341"/>
      <c r="H99" s="349"/>
      <c r="I99" s="343"/>
      <c r="J99" s="343"/>
      <c r="K99" s="342"/>
      <c r="L99" s="350"/>
      <c r="M99" s="351"/>
      <c r="N99" s="343"/>
      <c r="O99" s="354">
        <f t="shared" si="52"/>
      </c>
      <c r="P99" s="354">
        <f t="shared" si="53"/>
      </c>
      <c r="Q99" s="389"/>
      <c r="R99" s="376">
        <f t="shared" si="48"/>
      </c>
      <c r="S99" s="376">
        <f t="shared" si="49"/>
      </c>
      <c r="T99" s="352"/>
      <c r="U99" s="353"/>
      <c r="V99" s="352"/>
      <c r="W99" s="343"/>
      <c r="X99" s="388">
        <f t="shared" si="45"/>
      </c>
      <c r="Y99" s="375" t="e">
        <f t="shared" si="31"/>
        <v>#N/A</v>
      </c>
      <c r="Z99" s="375" t="e">
        <f t="shared" si="32"/>
        <v>#N/A</v>
      </c>
      <c r="AA99" s="375">
        <f t="shared" si="46"/>
      </c>
      <c r="AB99" s="377">
        <f t="shared" si="33"/>
        <v>1</v>
      </c>
      <c r="AC99" s="375" t="str">
        <f t="shared" si="34"/>
        <v> </v>
      </c>
      <c r="AD99" s="375" t="e">
        <f t="shared" si="35"/>
        <v>#N/A</v>
      </c>
      <c r="AE99" s="375" t="str">
        <f t="shared" si="36"/>
        <v> </v>
      </c>
      <c r="AF99" s="375" t="e">
        <f t="shared" si="37"/>
        <v>#N/A</v>
      </c>
      <c r="AG99" s="378" t="str">
        <f t="shared" si="38"/>
        <v> </v>
      </c>
      <c r="AH99" s="379" t="e">
        <f t="shared" si="51"/>
        <v>#VALUE!</v>
      </c>
      <c r="AI99" s="378" t="e">
        <f t="shared" si="39"/>
        <v>#VALUE!</v>
      </c>
      <c r="AJ99" s="375" t="e">
        <f t="shared" si="40"/>
        <v>#N/A</v>
      </c>
      <c r="AK99" s="375" t="e">
        <f>VLOOKUP(AJ99,'排出係数表'!$A$4:$C$202,2,FALSE)</f>
        <v>#N/A</v>
      </c>
      <c r="AL99" s="375" t="e">
        <f t="shared" si="41"/>
        <v>#N/A</v>
      </c>
      <c r="AM99" s="375" t="e">
        <f>VLOOKUP(AJ99,'排出係数表'!$A$4:$C$202,3,FALSE)</f>
        <v>#N/A</v>
      </c>
      <c r="AN99" s="375" t="e">
        <f t="shared" si="42"/>
        <v>#N/A</v>
      </c>
      <c r="AO99" s="375">
        <f t="shared" si="43"/>
      </c>
      <c r="AP99" s="379" t="str">
        <f t="shared" si="44"/>
        <v>-</v>
      </c>
      <c r="AQ99" s="375" t="e">
        <f t="shared" si="50"/>
        <v>#VALUE!</v>
      </c>
      <c r="AR99" s="375">
        <f t="shared" si="47"/>
      </c>
    </row>
    <row r="100" spans="1:44" s="380" customFormat="1" ht="13.5" customHeight="1">
      <c r="A100" s="375" t="str">
        <f>IF(ISBLANK(F100)=TRUE," ",IF(ISBLANK('様式2'!$C$23)=TRUE," ",'様式2'!$C$23))</f>
        <v> </v>
      </c>
      <c r="B100" s="375" t="e">
        <f>LOOKUP(LOOKUP(C100,'様式3'!$A$5:$A$44,'様式3'!$C$5:$C$44),'産業分類表'!$D$2:$D$68,'産業分類表'!$E$2:$E$68)</f>
        <v>#N/A</v>
      </c>
      <c r="C100" s="343"/>
      <c r="D100" s="343"/>
      <c r="E100" s="343"/>
      <c r="F100" s="343"/>
      <c r="G100" s="341"/>
      <c r="H100" s="349"/>
      <c r="I100" s="343"/>
      <c r="J100" s="343"/>
      <c r="K100" s="342"/>
      <c r="L100" s="350"/>
      <c r="M100" s="351"/>
      <c r="N100" s="343"/>
      <c r="O100" s="354">
        <f t="shared" si="52"/>
      </c>
      <c r="P100" s="354">
        <f t="shared" si="53"/>
      </c>
      <c r="Q100" s="389"/>
      <c r="R100" s="376">
        <f t="shared" si="48"/>
      </c>
      <c r="S100" s="376">
        <f t="shared" si="49"/>
      </c>
      <c r="T100" s="352"/>
      <c r="U100" s="353"/>
      <c r="V100" s="352"/>
      <c r="W100" s="343"/>
      <c r="X100" s="388">
        <f t="shared" si="45"/>
      </c>
      <c r="Y100" s="375" t="e">
        <f t="shared" si="31"/>
        <v>#N/A</v>
      </c>
      <c r="Z100" s="375" t="e">
        <f t="shared" si="32"/>
        <v>#N/A</v>
      </c>
      <c r="AA100" s="375">
        <f t="shared" si="46"/>
      </c>
      <c r="AB100" s="377">
        <f t="shared" si="33"/>
        <v>1</v>
      </c>
      <c r="AC100" s="375" t="str">
        <f t="shared" si="34"/>
        <v> </v>
      </c>
      <c r="AD100" s="375" t="e">
        <f t="shared" si="35"/>
        <v>#N/A</v>
      </c>
      <c r="AE100" s="375" t="str">
        <f t="shared" si="36"/>
        <v> </v>
      </c>
      <c r="AF100" s="375" t="e">
        <f t="shared" si="37"/>
        <v>#N/A</v>
      </c>
      <c r="AG100" s="378" t="str">
        <f t="shared" si="38"/>
        <v> </v>
      </c>
      <c r="AH100" s="379" t="e">
        <f t="shared" si="51"/>
        <v>#VALUE!</v>
      </c>
      <c r="AI100" s="378" t="e">
        <f t="shared" si="39"/>
        <v>#VALUE!</v>
      </c>
      <c r="AJ100" s="375" t="e">
        <f t="shared" si="40"/>
        <v>#N/A</v>
      </c>
      <c r="AK100" s="375" t="e">
        <f>VLOOKUP(AJ100,'排出係数表'!$A$4:$C$202,2,FALSE)</f>
        <v>#N/A</v>
      </c>
      <c r="AL100" s="375" t="e">
        <f t="shared" si="41"/>
        <v>#N/A</v>
      </c>
      <c r="AM100" s="375" t="e">
        <f>VLOOKUP(AJ100,'排出係数表'!$A$4:$C$202,3,FALSE)</f>
        <v>#N/A</v>
      </c>
      <c r="AN100" s="375" t="e">
        <f t="shared" si="42"/>
        <v>#N/A</v>
      </c>
      <c r="AO100" s="375">
        <f t="shared" si="43"/>
      </c>
      <c r="AP100" s="379" t="str">
        <f t="shared" si="44"/>
        <v>-</v>
      </c>
      <c r="AQ100" s="375" t="e">
        <f t="shared" si="50"/>
        <v>#VALUE!</v>
      </c>
      <c r="AR100" s="375">
        <f t="shared" si="47"/>
      </c>
    </row>
    <row r="101" spans="1:44" s="380" customFormat="1" ht="13.5" customHeight="1">
      <c r="A101" s="375" t="str">
        <f>IF(ISBLANK(F101)=TRUE," ",IF(ISBLANK('様式2'!$C$23)=TRUE," ",'様式2'!$C$23))</f>
        <v> </v>
      </c>
      <c r="B101" s="375" t="e">
        <f>LOOKUP(LOOKUP(C101,'様式3'!$A$5:$A$44,'様式3'!$C$5:$C$44),'産業分類表'!$D$2:$D$68,'産業分類表'!$E$2:$E$68)</f>
        <v>#N/A</v>
      </c>
      <c r="C101" s="343"/>
      <c r="D101" s="343"/>
      <c r="E101" s="343"/>
      <c r="F101" s="343"/>
      <c r="G101" s="341"/>
      <c r="H101" s="349"/>
      <c r="I101" s="343"/>
      <c r="J101" s="343"/>
      <c r="K101" s="342"/>
      <c r="L101" s="350"/>
      <c r="M101" s="351"/>
      <c r="N101" s="343"/>
      <c r="O101" s="354">
        <f t="shared" si="52"/>
      </c>
      <c r="P101" s="354">
        <f t="shared" si="53"/>
      </c>
      <c r="Q101" s="389"/>
      <c r="R101" s="376">
        <f t="shared" si="48"/>
      </c>
      <c r="S101" s="376">
        <f t="shared" si="49"/>
      </c>
      <c r="T101" s="352"/>
      <c r="U101" s="353"/>
      <c r="V101" s="352"/>
      <c r="W101" s="343"/>
      <c r="X101" s="388">
        <f t="shared" si="45"/>
      </c>
      <c r="Y101" s="375" t="e">
        <f t="shared" si="31"/>
        <v>#N/A</v>
      </c>
      <c r="Z101" s="375" t="e">
        <f t="shared" si="32"/>
        <v>#N/A</v>
      </c>
      <c r="AA101" s="375">
        <f t="shared" si="46"/>
      </c>
      <c r="AB101" s="377">
        <f t="shared" si="33"/>
        <v>1</v>
      </c>
      <c r="AC101" s="375" t="str">
        <f t="shared" si="34"/>
        <v> </v>
      </c>
      <c r="AD101" s="375" t="e">
        <f t="shared" si="35"/>
        <v>#N/A</v>
      </c>
      <c r="AE101" s="375" t="str">
        <f t="shared" si="36"/>
        <v> </v>
      </c>
      <c r="AF101" s="375" t="e">
        <f t="shared" si="37"/>
        <v>#N/A</v>
      </c>
      <c r="AG101" s="378" t="str">
        <f t="shared" si="38"/>
        <v> </v>
      </c>
      <c r="AH101" s="379" t="e">
        <f t="shared" si="51"/>
        <v>#VALUE!</v>
      </c>
      <c r="AI101" s="378" t="e">
        <f t="shared" si="39"/>
        <v>#VALUE!</v>
      </c>
      <c r="AJ101" s="375" t="e">
        <f t="shared" si="40"/>
        <v>#N/A</v>
      </c>
      <c r="AK101" s="375" t="e">
        <f>VLOOKUP(AJ101,'排出係数表'!$A$4:$C$202,2,FALSE)</f>
        <v>#N/A</v>
      </c>
      <c r="AL101" s="375" t="e">
        <f t="shared" si="41"/>
        <v>#N/A</v>
      </c>
      <c r="AM101" s="375" t="e">
        <f>VLOOKUP(AJ101,'排出係数表'!$A$4:$C$202,3,FALSE)</f>
        <v>#N/A</v>
      </c>
      <c r="AN101" s="375" t="e">
        <f t="shared" si="42"/>
        <v>#N/A</v>
      </c>
      <c r="AO101" s="375">
        <f t="shared" si="43"/>
      </c>
      <c r="AP101" s="379" t="str">
        <f t="shared" si="44"/>
        <v>-</v>
      </c>
      <c r="AQ101" s="375" t="e">
        <f t="shared" si="50"/>
        <v>#VALUE!</v>
      </c>
      <c r="AR101" s="375">
        <f t="shared" si="47"/>
      </c>
    </row>
    <row r="102" spans="1:44" s="380" customFormat="1" ht="13.5" customHeight="1">
      <c r="A102" s="375" t="str">
        <f>IF(ISBLANK(F102)=TRUE," ",IF(ISBLANK('様式2'!$C$23)=TRUE," ",'様式2'!$C$23))</f>
        <v> </v>
      </c>
      <c r="B102" s="375" t="e">
        <f>LOOKUP(LOOKUP(C102,'様式3'!$A$5:$A$44,'様式3'!$C$5:$C$44),'産業分類表'!$D$2:$D$68,'産業分類表'!$E$2:$E$68)</f>
        <v>#N/A</v>
      </c>
      <c r="C102" s="343"/>
      <c r="D102" s="343"/>
      <c r="E102" s="343"/>
      <c r="F102" s="343"/>
      <c r="G102" s="341"/>
      <c r="H102" s="349"/>
      <c r="I102" s="343"/>
      <c r="J102" s="343"/>
      <c r="K102" s="342"/>
      <c r="L102" s="350"/>
      <c r="M102" s="351"/>
      <c r="N102" s="343"/>
      <c r="O102" s="354">
        <f t="shared" si="52"/>
      </c>
      <c r="P102" s="354">
        <f t="shared" si="53"/>
      </c>
      <c r="Q102" s="389"/>
      <c r="R102" s="376">
        <f t="shared" si="48"/>
      </c>
      <c r="S102" s="376">
        <f t="shared" si="49"/>
      </c>
      <c r="T102" s="352"/>
      <c r="U102" s="353"/>
      <c r="V102" s="352"/>
      <c r="W102" s="343"/>
      <c r="X102" s="388">
        <f t="shared" si="45"/>
      </c>
      <c r="Y102" s="375" t="e">
        <f t="shared" si="31"/>
        <v>#N/A</v>
      </c>
      <c r="Z102" s="375" t="e">
        <f t="shared" si="32"/>
        <v>#N/A</v>
      </c>
      <c r="AA102" s="375">
        <f t="shared" si="46"/>
      </c>
      <c r="AB102" s="377">
        <f t="shared" si="33"/>
        <v>1</v>
      </c>
      <c r="AC102" s="375" t="str">
        <f t="shared" si="34"/>
        <v> </v>
      </c>
      <c r="AD102" s="375" t="e">
        <f t="shared" si="35"/>
        <v>#N/A</v>
      </c>
      <c r="AE102" s="375" t="str">
        <f t="shared" si="36"/>
        <v> </v>
      </c>
      <c r="AF102" s="375" t="e">
        <f t="shared" si="37"/>
        <v>#N/A</v>
      </c>
      <c r="AG102" s="378" t="str">
        <f t="shared" si="38"/>
        <v> </v>
      </c>
      <c r="AH102" s="379" t="e">
        <f t="shared" si="51"/>
        <v>#VALUE!</v>
      </c>
      <c r="AI102" s="378" t="e">
        <f t="shared" si="39"/>
        <v>#VALUE!</v>
      </c>
      <c r="AJ102" s="375" t="e">
        <f t="shared" si="40"/>
        <v>#N/A</v>
      </c>
      <c r="AK102" s="375" t="e">
        <f>VLOOKUP(AJ102,'排出係数表'!$A$4:$C$202,2,FALSE)</f>
        <v>#N/A</v>
      </c>
      <c r="AL102" s="375" t="e">
        <f t="shared" si="41"/>
        <v>#N/A</v>
      </c>
      <c r="AM102" s="375" t="e">
        <f>VLOOKUP(AJ102,'排出係数表'!$A$4:$C$202,3,FALSE)</f>
        <v>#N/A</v>
      </c>
      <c r="AN102" s="375" t="e">
        <f t="shared" si="42"/>
        <v>#N/A</v>
      </c>
      <c r="AO102" s="375">
        <f t="shared" si="43"/>
      </c>
      <c r="AP102" s="379" t="str">
        <f t="shared" si="44"/>
        <v>-</v>
      </c>
      <c r="AQ102" s="375" t="e">
        <f t="shared" si="50"/>
        <v>#VALUE!</v>
      </c>
      <c r="AR102" s="375">
        <f t="shared" si="47"/>
      </c>
    </row>
    <row r="103" spans="1:44" s="380" customFormat="1" ht="13.5" customHeight="1">
      <c r="A103" s="375" t="str">
        <f>IF(ISBLANK(F103)=TRUE," ",IF(ISBLANK('様式2'!$C$23)=TRUE," ",'様式2'!$C$23))</f>
        <v> </v>
      </c>
      <c r="B103" s="375" t="e">
        <f>LOOKUP(LOOKUP(C103,'様式3'!$A$5:$A$44,'様式3'!$C$5:$C$44),'産業分類表'!$D$2:$D$68,'産業分類表'!$E$2:$E$68)</f>
        <v>#N/A</v>
      </c>
      <c r="C103" s="343"/>
      <c r="D103" s="343"/>
      <c r="E103" s="343"/>
      <c r="F103" s="343"/>
      <c r="G103" s="341"/>
      <c r="H103" s="349"/>
      <c r="I103" s="343"/>
      <c r="J103" s="343"/>
      <c r="K103" s="342"/>
      <c r="L103" s="350"/>
      <c r="M103" s="351"/>
      <c r="N103" s="343"/>
      <c r="O103" s="354">
        <f t="shared" si="52"/>
      </c>
      <c r="P103" s="354">
        <f t="shared" si="53"/>
      </c>
      <c r="Q103" s="389"/>
      <c r="R103" s="376">
        <f t="shared" si="48"/>
      </c>
      <c r="S103" s="376">
        <f t="shared" si="49"/>
      </c>
      <c r="T103" s="352"/>
      <c r="U103" s="353"/>
      <c r="V103" s="352"/>
      <c r="W103" s="343"/>
      <c r="X103" s="388">
        <f t="shared" si="45"/>
      </c>
      <c r="Y103" s="375" t="e">
        <f t="shared" si="31"/>
        <v>#N/A</v>
      </c>
      <c r="Z103" s="375" t="e">
        <f t="shared" si="32"/>
        <v>#N/A</v>
      </c>
      <c r="AA103" s="375">
        <f t="shared" si="46"/>
      </c>
      <c r="AB103" s="377">
        <f t="shared" si="33"/>
        <v>1</v>
      </c>
      <c r="AC103" s="375" t="str">
        <f t="shared" si="34"/>
        <v> </v>
      </c>
      <c r="AD103" s="375" t="e">
        <f t="shared" si="35"/>
        <v>#N/A</v>
      </c>
      <c r="AE103" s="375" t="str">
        <f t="shared" si="36"/>
        <v> </v>
      </c>
      <c r="AF103" s="375" t="e">
        <f t="shared" si="37"/>
        <v>#N/A</v>
      </c>
      <c r="AG103" s="378" t="str">
        <f t="shared" si="38"/>
        <v> </v>
      </c>
      <c r="AH103" s="379" t="e">
        <f t="shared" si="51"/>
        <v>#VALUE!</v>
      </c>
      <c r="AI103" s="378" t="e">
        <f t="shared" si="39"/>
        <v>#VALUE!</v>
      </c>
      <c r="AJ103" s="375" t="e">
        <f t="shared" si="40"/>
        <v>#N/A</v>
      </c>
      <c r="AK103" s="375" t="e">
        <f>VLOOKUP(AJ103,'排出係数表'!$A$4:$C$202,2,FALSE)</f>
        <v>#N/A</v>
      </c>
      <c r="AL103" s="375" t="e">
        <f t="shared" si="41"/>
        <v>#N/A</v>
      </c>
      <c r="AM103" s="375" t="e">
        <f>VLOOKUP(AJ103,'排出係数表'!$A$4:$C$202,3,FALSE)</f>
        <v>#N/A</v>
      </c>
      <c r="AN103" s="375" t="e">
        <f t="shared" si="42"/>
        <v>#N/A</v>
      </c>
      <c r="AO103" s="375">
        <f t="shared" si="43"/>
      </c>
      <c r="AP103" s="379" t="str">
        <f t="shared" si="44"/>
        <v>-</v>
      </c>
      <c r="AQ103" s="375" t="e">
        <f t="shared" si="50"/>
        <v>#VALUE!</v>
      </c>
      <c r="AR103" s="375">
        <f t="shared" si="47"/>
      </c>
    </row>
    <row r="104" spans="1:44" s="380" customFormat="1" ht="13.5" customHeight="1">
      <c r="A104" s="375" t="str">
        <f>IF(ISBLANK(F104)=TRUE," ",IF(ISBLANK('様式2'!$C$23)=TRUE," ",'様式2'!$C$23))</f>
        <v> </v>
      </c>
      <c r="B104" s="375" t="e">
        <f>LOOKUP(LOOKUP(C104,'様式3'!$A$5:$A$44,'様式3'!$C$5:$C$44),'産業分類表'!$D$2:$D$68,'産業分類表'!$E$2:$E$68)</f>
        <v>#N/A</v>
      </c>
      <c r="C104" s="343"/>
      <c r="D104" s="343"/>
      <c r="E104" s="343"/>
      <c r="F104" s="343"/>
      <c r="G104" s="341"/>
      <c r="H104" s="349"/>
      <c r="I104" s="343"/>
      <c r="J104" s="343"/>
      <c r="K104" s="342"/>
      <c r="L104" s="350"/>
      <c r="M104" s="351"/>
      <c r="N104" s="343"/>
      <c r="O104" s="354">
        <f t="shared" si="52"/>
      </c>
      <c r="P104" s="354">
        <f t="shared" si="53"/>
      </c>
      <c r="Q104" s="389"/>
      <c r="R104" s="376">
        <f t="shared" si="48"/>
      </c>
      <c r="S104" s="376">
        <f t="shared" si="49"/>
      </c>
      <c r="T104" s="352"/>
      <c r="U104" s="353"/>
      <c r="V104" s="352"/>
      <c r="W104" s="343"/>
      <c r="X104" s="388">
        <f t="shared" si="45"/>
      </c>
      <c r="Y104" s="375" t="e">
        <f t="shared" si="31"/>
        <v>#N/A</v>
      </c>
      <c r="Z104" s="375" t="e">
        <f t="shared" si="32"/>
        <v>#N/A</v>
      </c>
      <c r="AA104" s="375">
        <f t="shared" si="46"/>
      </c>
      <c r="AB104" s="377">
        <f aca="true" t="shared" si="54" ref="AB104:AB303">IF(I104&gt;3500,I104/1000,1)</f>
        <v>1</v>
      </c>
      <c r="AC104" s="375" t="str">
        <f aca="true" t="shared" si="55" ref="AC104:AC303">IF(ISBLANK(F104)=TRUE," ",IF(LEFT(F104,1)="4",0,IF(I104&lt;=1700,1,IF(I104&lt;=2500,2,IF(I104&lt;=3500,3,4)))))</f>
        <v> </v>
      </c>
      <c r="AD104" s="375" t="e">
        <f aca="true" t="shared" si="56" ref="AD104:AD303">IF(Z104="乗",0,IF(LEFT(F104,1)="4",0,IF(I104&lt;=1700,1,IF(I104&lt;=2500,2,IF(I104&lt;=3500,3,4)))))</f>
        <v>#N/A</v>
      </c>
      <c r="AE104" s="375" t="str">
        <f aca="true" t="shared" si="57" ref="AE104:AE303">IF(ISBLANK(J104)=TRUE," ",IF(LEFT(F104,1)="1",IF(I104&lt;=3500,1,IF(I104&lt;=5000,2,3)),IF(LEFT(F104,1)="6",IF(I104&lt;=3500,1,IF(I104&lt;=5000,2,3)),"")))</f>
        <v> </v>
      </c>
      <c r="AF104" s="375" t="e">
        <f t="shared" si="37"/>
        <v>#N/A</v>
      </c>
      <c r="AG104" s="378" t="str">
        <f aca="true" t="shared" si="58" ref="AG104:AG303">IF(ISBLANK(J104)=TRUE," ",CONCATENATE(C104,LEFT(F104,1),AC104))</f>
        <v> </v>
      </c>
      <c r="AH104" s="379" t="e">
        <f aca="true" t="shared" si="59" ref="AH104:AH303">VALUE(LEFT(J104,2))</f>
        <v>#VALUE!</v>
      </c>
      <c r="AI104" s="378" t="e">
        <f aca="true" t="shared" si="60" ref="AI104:AI167">CONCATENATE(AH104,Z104,AE104)</f>
        <v>#VALUE!</v>
      </c>
      <c r="AJ104" s="375" t="e">
        <f aca="true" t="shared" si="61" ref="AJ104:AJ303">IF(AF104="電","電",CONCATENATE(Y104,AD104,AF104,AA104))</f>
        <v>#N/A</v>
      </c>
      <c r="AK104" s="375" t="e">
        <f>VLOOKUP(AJ104,'排出係数表'!$A$4:$C$202,2,FALSE)</f>
        <v>#N/A</v>
      </c>
      <c r="AL104" s="375" t="e">
        <f t="shared" si="41"/>
        <v>#N/A</v>
      </c>
      <c r="AM104" s="375" t="e">
        <f>VLOOKUP(AJ104,'排出係数表'!$A$4:$C$202,3,FALSE)</f>
        <v>#N/A</v>
      </c>
      <c r="AN104" s="375" t="e">
        <f t="shared" si="42"/>
        <v>#N/A</v>
      </c>
      <c r="AO104" s="375">
        <f aca="true" t="shared" si="62" ref="AO104:AO303">IF(ISBLANK(T104)=TRUE,"",CONCATENATE(AI104,LEFT(U104,4)))</f>
      </c>
      <c r="AP104" s="379" t="str">
        <f aca="true" t="shared" si="63" ref="AP104:AP303">IF(ISBLANK(T104)=TRUE,"-",LEFT(U104,4)-LEFT(K104,4))</f>
        <v>-</v>
      </c>
      <c r="AQ104" s="375" t="e">
        <f t="shared" si="50"/>
        <v>#VALUE!</v>
      </c>
      <c r="AR104" s="375">
        <f t="shared" si="47"/>
      </c>
    </row>
    <row r="105" spans="1:44" s="380" customFormat="1" ht="13.5" customHeight="1">
      <c r="A105" s="375" t="str">
        <f>IF(ISBLANK(F105)=TRUE," ",IF(ISBLANK('様式2'!$C$23)=TRUE," ",'様式2'!$C$23))</f>
        <v> </v>
      </c>
      <c r="B105" s="375" t="e">
        <f>LOOKUP(LOOKUP(C105,'様式3'!$A$5:$A$44,'様式3'!$C$5:$C$44),'産業分類表'!$D$2:$D$68,'産業分類表'!$E$2:$E$68)</f>
        <v>#N/A</v>
      </c>
      <c r="C105" s="343"/>
      <c r="D105" s="343"/>
      <c r="E105" s="343"/>
      <c r="F105" s="343"/>
      <c r="G105" s="341"/>
      <c r="H105" s="349"/>
      <c r="I105" s="343"/>
      <c r="J105" s="343"/>
      <c r="K105" s="342"/>
      <c r="L105" s="350"/>
      <c r="M105" s="351"/>
      <c r="N105" s="343"/>
      <c r="O105" s="354">
        <f t="shared" si="52"/>
      </c>
      <c r="P105" s="354">
        <f t="shared" si="53"/>
      </c>
      <c r="Q105" s="389"/>
      <c r="R105" s="376">
        <f t="shared" si="48"/>
      </c>
      <c r="S105" s="376">
        <f t="shared" si="49"/>
      </c>
      <c r="T105" s="352"/>
      <c r="U105" s="353"/>
      <c r="V105" s="352"/>
      <c r="W105" s="343"/>
      <c r="X105" s="388">
        <f t="shared" si="45"/>
      </c>
      <c r="Y105" s="375" t="e">
        <f t="shared" si="31"/>
        <v>#N/A</v>
      </c>
      <c r="Z105" s="375" t="e">
        <f t="shared" si="32"/>
        <v>#N/A</v>
      </c>
      <c r="AA105" s="375">
        <f t="shared" si="46"/>
      </c>
      <c r="AB105" s="377">
        <f t="shared" si="54"/>
        <v>1</v>
      </c>
      <c r="AC105" s="375" t="str">
        <f t="shared" si="55"/>
        <v> </v>
      </c>
      <c r="AD105" s="375" t="e">
        <f t="shared" si="56"/>
        <v>#N/A</v>
      </c>
      <c r="AE105" s="375" t="str">
        <f t="shared" si="57"/>
        <v> </v>
      </c>
      <c r="AF105" s="375" t="e">
        <f t="shared" si="37"/>
        <v>#N/A</v>
      </c>
      <c r="AG105" s="378" t="str">
        <f t="shared" si="58"/>
        <v> </v>
      </c>
      <c r="AH105" s="379" t="e">
        <f t="shared" si="59"/>
        <v>#VALUE!</v>
      </c>
      <c r="AI105" s="378" t="e">
        <f t="shared" si="60"/>
        <v>#VALUE!</v>
      </c>
      <c r="AJ105" s="375" t="e">
        <f t="shared" si="61"/>
        <v>#N/A</v>
      </c>
      <c r="AK105" s="375" t="e">
        <f>VLOOKUP(AJ105,'排出係数表'!$A$4:$C$202,2,FALSE)</f>
        <v>#N/A</v>
      </c>
      <c r="AL105" s="375" t="e">
        <f t="shared" si="41"/>
        <v>#N/A</v>
      </c>
      <c r="AM105" s="375" t="e">
        <f>VLOOKUP(AJ105,'排出係数表'!$A$4:$C$202,3,FALSE)</f>
        <v>#N/A</v>
      </c>
      <c r="AN105" s="375" t="e">
        <f t="shared" si="42"/>
        <v>#N/A</v>
      </c>
      <c r="AO105" s="375">
        <f t="shared" si="62"/>
      </c>
      <c r="AP105" s="379" t="str">
        <f t="shared" si="63"/>
        <v>-</v>
      </c>
      <c r="AQ105" s="375" t="e">
        <f t="shared" si="50"/>
        <v>#VALUE!</v>
      </c>
      <c r="AR105" s="375">
        <f t="shared" si="47"/>
      </c>
    </row>
    <row r="106" spans="1:44" s="380" customFormat="1" ht="13.5" customHeight="1">
      <c r="A106" s="375" t="str">
        <f>IF(ISBLANK(F106)=TRUE," ",IF(ISBLANK('様式2'!$C$23)=TRUE," ",'様式2'!$C$23))</f>
        <v> </v>
      </c>
      <c r="B106" s="375" t="e">
        <f>LOOKUP(LOOKUP(C106,'様式3'!$A$5:$A$44,'様式3'!$C$5:$C$44),'産業分類表'!$D$2:$D$68,'産業分類表'!$E$2:$E$68)</f>
        <v>#N/A</v>
      </c>
      <c r="C106" s="343"/>
      <c r="D106" s="343"/>
      <c r="E106" s="343"/>
      <c r="F106" s="343"/>
      <c r="G106" s="341"/>
      <c r="H106" s="349"/>
      <c r="I106" s="343"/>
      <c r="J106" s="343"/>
      <c r="K106" s="342"/>
      <c r="L106" s="350"/>
      <c r="M106" s="351"/>
      <c r="N106" s="343"/>
      <c r="O106" s="354">
        <f t="shared" si="52"/>
      </c>
      <c r="P106" s="354">
        <f t="shared" si="53"/>
      </c>
      <c r="Q106" s="389"/>
      <c r="R106" s="376">
        <f t="shared" si="48"/>
      </c>
      <c r="S106" s="376">
        <f t="shared" si="49"/>
      </c>
      <c r="T106" s="352"/>
      <c r="U106" s="353"/>
      <c r="V106" s="352"/>
      <c r="W106" s="343"/>
      <c r="X106" s="388">
        <f t="shared" si="45"/>
      </c>
      <c r="Y106" s="375" t="e">
        <f t="shared" si="31"/>
        <v>#N/A</v>
      </c>
      <c r="Z106" s="375" t="e">
        <f t="shared" si="32"/>
        <v>#N/A</v>
      </c>
      <c r="AA106" s="375">
        <f t="shared" si="46"/>
      </c>
      <c r="AB106" s="377">
        <f t="shared" si="54"/>
        <v>1</v>
      </c>
      <c r="AC106" s="375" t="str">
        <f t="shared" si="55"/>
        <v> </v>
      </c>
      <c r="AD106" s="375" t="e">
        <f t="shared" si="56"/>
        <v>#N/A</v>
      </c>
      <c r="AE106" s="375" t="str">
        <f t="shared" si="57"/>
        <v> </v>
      </c>
      <c r="AF106" s="375" t="e">
        <f t="shared" si="37"/>
        <v>#N/A</v>
      </c>
      <c r="AG106" s="378" t="str">
        <f t="shared" si="58"/>
        <v> </v>
      </c>
      <c r="AH106" s="379" t="e">
        <f t="shared" si="59"/>
        <v>#VALUE!</v>
      </c>
      <c r="AI106" s="378" t="e">
        <f t="shared" si="60"/>
        <v>#VALUE!</v>
      </c>
      <c r="AJ106" s="375" t="e">
        <f t="shared" si="61"/>
        <v>#N/A</v>
      </c>
      <c r="AK106" s="375" t="e">
        <f>VLOOKUP(AJ106,'排出係数表'!$A$4:$C$202,2,FALSE)</f>
        <v>#N/A</v>
      </c>
      <c r="AL106" s="375" t="e">
        <f t="shared" si="41"/>
        <v>#N/A</v>
      </c>
      <c r="AM106" s="375" t="e">
        <f>VLOOKUP(AJ106,'排出係数表'!$A$4:$C$202,3,FALSE)</f>
        <v>#N/A</v>
      </c>
      <c r="AN106" s="375" t="e">
        <f t="shared" si="42"/>
        <v>#N/A</v>
      </c>
      <c r="AO106" s="375">
        <f t="shared" si="62"/>
      </c>
      <c r="AP106" s="379" t="str">
        <f t="shared" si="63"/>
        <v>-</v>
      </c>
      <c r="AQ106" s="375" t="e">
        <f t="shared" si="50"/>
        <v>#VALUE!</v>
      </c>
      <c r="AR106" s="375">
        <f t="shared" si="47"/>
      </c>
    </row>
    <row r="107" spans="1:44" s="380" customFormat="1" ht="13.5" customHeight="1">
      <c r="A107" s="375" t="str">
        <f>IF(ISBLANK(F107)=TRUE," ",IF(ISBLANK('様式2'!$C$23)=TRUE," ",'様式2'!$C$23))</f>
        <v> </v>
      </c>
      <c r="B107" s="375" t="e">
        <f>LOOKUP(LOOKUP(C107,'様式3'!$A$5:$A$44,'様式3'!$C$5:$C$44),'産業分類表'!$D$2:$D$68,'産業分類表'!$E$2:$E$68)</f>
        <v>#N/A</v>
      </c>
      <c r="C107" s="343"/>
      <c r="D107" s="343"/>
      <c r="E107" s="343"/>
      <c r="F107" s="343"/>
      <c r="G107" s="341"/>
      <c r="H107" s="349"/>
      <c r="I107" s="343"/>
      <c r="J107" s="343"/>
      <c r="K107" s="342"/>
      <c r="L107" s="350"/>
      <c r="M107" s="351"/>
      <c r="N107" s="343"/>
      <c r="O107" s="354">
        <f t="shared" si="52"/>
      </c>
      <c r="P107" s="354">
        <f t="shared" si="53"/>
      </c>
      <c r="Q107" s="389"/>
      <c r="R107" s="376">
        <f t="shared" si="48"/>
      </c>
      <c r="S107" s="376">
        <f t="shared" si="49"/>
      </c>
      <c r="T107" s="352"/>
      <c r="U107" s="353"/>
      <c r="V107" s="352"/>
      <c r="W107" s="343"/>
      <c r="X107" s="388">
        <f t="shared" si="45"/>
      </c>
      <c r="Y107" s="375" t="e">
        <f t="shared" si="31"/>
        <v>#N/A</v>
      </c>
      <c r="Z107" s="375" t="e">
        <f t="shared" si="32"/>
        <v>#N/A</v>
      </c>
      <c r="AA107" s="375">
        <f t="shared" si="46"/>
      </c>
      <c r="AB107" s="377">
        <f t="shared" si="54"/>
        <v>1</v>
      </c>
      <c r="AC107" s="375" t="str">
        <f t="shared" si="55"/>
        <v> </v>
      </c>
      <c r="AD107" s="375" t="e">
        <f t="shared" si="56"/>
        <v>#N/A</v>
      </c>
      <c r="AE107" s="375" t="str">
        <f t="shared" si="57"/>
        <v> </v>
      </c>
      <c r="AF107" s="375" t="e">
        <f t="shared" si="37"/>
        <v>#N/A</v>
      </c>
      <c r="AG107" s="378" t="str">
        <f t="shared" si="58"/>
        <v> </v>
      </c>
      <c r="AH107" s="379" t="e">
        <f t="shared" si="59"/>
        <v>#VALUE!</v>
      </c>
      <c r="AI107" s="378" t="e">
        <f t="shared" si="60"/>
        <v>#VALUE!</v>
      </c>
      <c r="AJ107" s="375" t="e">
        <f t="shared" si="61"/>
        <v>#N/A</v>
      </c>
      <c r="AK107" s="375" t="e">
        <f>VLOOKUP(AJ107,'排出係数表'!$A$4:$C$202,2,FALSE)</f>
        <v>#N/A</v>
      </c>
      <c r="AL107" s="375" t="e">
        <f t="shared" si="41"/>
        <v>#N/A</v>
      </c>
      <c r="AM107" s="375" t="e">
        <f>VLOOKUP(AJ107,'排出係数表'!$A$4:$C$202,3,FALSE)</f>
        <v>#N/A</v>
      </c>
      <c r="AN107" s="375" t="e">
        <f t="shared" si="42"/>
        <v>#N/A</v>
      </c>
      <c r="AO107" s="375">
        <f t="shared" si="62"/>
      </c>
      <c r="AP107" s="379" t="str">
        <f t="shared" si="63"/>
        <v>-</v>
      </c>
      <c r="AQ107" s="375" t="e">
        <f t="shared" si="50"/>
        <v>#VALUE!</v>
      </c>
      <c r="AR107" s="375">
        <f t="shared" si="47"/>
      </c>
    </row>
    <row r="108" spans="1:44" s="380" customFormat="1" ht="13.5" customHeight="1">
      <c r="A108" s="375" t="str">
        <f>IF(ISBLANK(F108)=TRUE," ",IF(ISBLANK('様式2'!$C$23)=TRUE," ",'様式2'!$C$23))</f>
        <v> </v>
      </c>
      <c r="B108" s="375" t="e">
        <f>LOOKUP(LOOKUP(C108,'様式3'!$A$5:$A$44,'様式3'!$C$5:$C$44),'産業分類表'!$D$2:$D$68,'産業分類表'!$E$2:$E$68)</f>
        <v>#N/A</v>
      </c>
      <c r="C108" s="343"/>
      <c r="D108" s="343"/>
      <c r="E108" s="343"/>
      <c r="F108" s="343"/>
      <c r="G108" s="341"/>
      <c r="H108" s="349"/>
      <c r="I108" s="343"/>
      <c r="J108" s="343"/>
      <c r="K108" s="342"/>
      <c r="L108" s="350"/>
      <c r="M108" s="351"/>
      <c r="N108" s="343"/>
      <c r="O108" s="354">
        <f t="shared" si="52"/>
      </c>
      <c r="P108" s="354">
        <f t="shared" si="53"/>
      </c>
      <c r="Q108" s="389"/>
      <c r="R108" s="376">
        <f t="shared" si="48"/>
      </c>
      <c r="S108" s="376">
        <f t="shared" si="49"/>
      </c>
      <c r="T108" s="352"/>
      <c r="U108" s="353"/>
      <c r="V108" s="352"/>
      <c r="W108" s="343"/>
      <c r="X108" s="388">
        <f t="shared" si="45"/>
      </c>
      <c r="Y108" s="375" t="e">
        <f t="shared" si="31"/>
        <v>#N/A</v>
      </c>
      <c r="Z108" s="375" t="e">
        <f t="shared" si="32"/>
        <v>#N/A</v>
      </c>
      <c r="AA108" s="375">
        <f t="shared" si="46"/>
      </c>
      <c r="AB108" s="377">
        <f t="shared" si="54"/>
        <v>1</v>
      </c>
      <c r="AC108" s="375" t="str">
        <f t="shared" si="55"/>
        <v> </v>
      </c>
      <c r="AD108" s="375" t="e">
        <f t="shared" si="56"/>
        <v>#N/A</v>
      </c>
      <c r="AE108" s="375" t="str">
        <f t="shared" si="57"/>
        <v> </v>
      </c>
      <c r="AF108" s="375" t="e">
        <f t="shared" si="37"/>
        <v>#N/A</v>
      </c>
      <c r="AG108" s="378" t="str">
        <f t="shared" si="58"/>
        <v> </v>
      </c>
      <c r="AH108" s="379" t="e">
        <f t="shared" si="59"/>
        <v>#VALUE!</v>
      </c>
      <c r="AI108" s="378" t="e">
        <f t="shared" si="60"/>
        <v>#VALUE!</v>
      </c>
      <c r="AJ108" s="375" t="e">
        <f t="shared" si="61"/>
        <v>#N/A</v>
      </c>
      <c r="AK108" s="375" t="e">
        <f>VLOOKUP(AJ108,'排出係数表'!$A$4:$C$202,2,FALSE)</f>
        <v>#N/A</v>
      </c>
      <c r="AL108" s="375" t="e">
        <f t="shared" si="41"/>
        <v>#N/A</v>
      </c>
      <c r="AM108" s="375" t="e">
        <f>VLOOKUP(AJ108,'排出係数表'!$A$4:$C$202,3,FALSE)</f>
        <v>#N/A</v>
      </c>
      <c r="AN108" s="375" t="e">
        <f t="shared" si="42"/>
        <v>#N/A</v>
      </c>
      <c r="AO108" s="375">
        <f t="shared" si="62"/>
      </c>
      <c r="AP108" s="379" t="str">
        <f t="shared" si="63"/>
        <v>-</v>
      </c>
      <c r="AQ108" s="375" t="e">
        <f t="shared" si="50"/>
        <v>#VALUE!</v>
      </c>
      <c r="AR108" s="375">
        <f t="shared" si="47"/>
      </c>
    </row>
    <row r="109" spans="1:44" s="380" customFormat="1" ht="13.5" customHeight="1">
      <c r="A109" s="375" t="str">
        <f>IF(ISBLANK(F109)=TRUE," ",IF(ISBLANK('様式2'!$C$23)=TRUE," ",'様式2'!$C$23))</f>
        <v> </v>
      </c>
      <c r="B109" s="375" t="e">
        <f>LOOKUP(LOOKUP(C109,'様式3'!$A$5:$A$44,'様式3'!$C$5:$C$44),'産業分類表'!$D$2:$D$68,'産業分類表'!$E$2:$E$68)</f>
        <v>#N/A</v>
      </c>
      <c r="C109" s="343"/>
      <c r="D109" s="343"/>
      <c r="E109" s="343"/>
      <c r="F109" s="343"/>
      <c r="G109" s="341"/>
      <c r="H109" s="349"/>
      <c r="I109" s="343"/>
      <c r="J109" s="343"/>
      <c r="K109" s="342"/>
      <c r="L109" s="350"/>
      <c r="M109" s="351"/>
      <c r="N109" s="343"/>
      <c r="O109" s="354">
        <f t="shared" si="52"/>
      </c>
      <c r="P109" s="354">
        <f t="shared" si="53"/>
      </c>
      <c r="Q109" s="389"/>
      <c r="R109" s="376">
        <f t="shared" si="48"/>
      </c>
      <c r="S109" s="376">
        <f t="shared" si="49"/>
      </c>
      <c r="T109" s="352"/>
      <c r="U109" s="353"/>
      <c r="V109" s="352"/>
      <c r="W109" s="343"/>
      <c r="X109" s="388">
        <f t="shared" si="45"/>
      </c>
      <c r="Y109" s="375" t="e">
        <f t="shared" si="31"/>
        <v>#N/A</v>
      </c>
      <c r="Z109" s="375" t="e">
        <f t="shared" si="32"/>
        <v>#N/A</v>
      </c>
      <c r="AA109" s="375">
        <f t="shared" si="46"/>
      </c>
      <c r="AB109" s="377">
        <f t="shared" si="54"/>
        <v>1</v>
      </c>
      <c r="AC109" s="375" t="str">
        <f t="shared" si="55"/>
        <v> </v>
      </c>
      <c r="AD109" s="375" t="e">
        <f t="shared" si="56"/>
        <v>#N/A</v>
      </c>
      <c r="AE109" s="375" t="str">
        <f t="shared" si="57"/>
        <v> </v>
      </c>
      <c r="AF109" s="375" t="e">
        <f t="shared" si="37"/>
        <v>#N/A</v>
      </c>
      <c r="AG109" s="378" t="str">
        <f t="shared" si="58"/>
        <v> </v>
      </c>
      <c r="AH109" s="379" t="e">
        <f t="shared" si="59"/>
        <v>#VALUE!</v>
      </c>
      <c r="AI109" s="378" t="e">
        <f t="shared" si="60"/>
        <v>#VALUE!</v>
      </c>
      <c r="AJ109" s="375" t="e">
        <f t="shared" si="61"/>
        <v>#N/A</v>
      </c>
      <c r="AK109" s="375" t="e">
        <f>VLOOKUP(AJ109,'排出係数表'!$A$4:$C$202,2,FALSE)</f>
        <v>#N/A</v>
      </c>
      <c r="AL109" s="375" t="e">
        <f t="shared" si="41"/>
        <v>#N/A</v>
      </c>
      <c r="AM109" s="375" t="e">
        <f>VLOOKUP(AJ109,'排出係数表'!$A$4:$C$202,3,FALSE)</f>
        <v>#N/A</v>
      </c>
      <c r="AN109" s="375" t="e">
        <f t="shared" si="42"/>
        <v>#N/A</v>
      </c>
      <c r="AO109" s="375">
        <f t="shared" si="62"/>
      </c>
      <c r="AP109" s="379" t="str">
        <f t="shared" si="63"/>
        <v>-</v>
      </c>
      <c r="AQ109" s="375" t="e">
        <f t="shared" si="50"/>
        <v>#VALUE!</v>
      </c>
      <c r="AR109" s="375">
        <f t="shared" si="47"/>
      </c>
    </row>
    <row r="110" spans="1:44" s="380" customFormat="1" ht="13.5" customHeight="1">
      <c r="A110" s="375" t="str">
        <f>IF(ISBLANK(F110)=TRUE," ",IF(ISBLANK('様式2'!$C$23)=TRUE," ",'様式2'!$C$23))</f>
        <v> </v>
      </c>
      <c r="B110" s="375" t="e">
        <f>LOOKUP(LOOKUP(C110,'様式3'!$A$5:$A$44,'様式3'!$C$5:$C$44),'産業分類表'!$D$2:$D$68,'産業分類表'!$E$2:$E$68)</f>
        <v>#N/A</v>
      </c>
      <c r="C110" s="343"/>
      <c r="D110" s="343"/>
      <c r="E110" s="343"/>
      <c r="F110" s="343"/>
      <c r="G110" s="341"/>
      <c r="H110" s="349"/>
      <c r="I110" s="343"/>
      <c r="J110" s="343"/>
      <c r="K110" s="342"/>
      <c r="L110" s="350"/>
      <c r="M110" s="351"/>
      <c r="N110" s="343"/>
      <c r="O110" s="354">
        <f t="shared" si="52"/>
      </c>
      <c r="P110" s="354">
        <f t="shared" si="53"/>
      </c>
      <c r="Q110" s="389"/>
      <c r="R110" s="376">
        <f t="shared" si="48"/>
      </c>
      <c r="S110" s="376">
        <f t="shared" si="49"/>
      </c>
      <c r="T110" s="352"/>
      <c r="U110" s="353"/>
      <c r="V110" s="352"/>
      <c r="W110" s="343"/>
      <c r="X110" s="388">
        <f t="shared" si="45"/>
      </c>
      <c r="Y110" s="375" t="e">
        <f t="shared" si="31"/>
        <v>#N/A</v>
      </c>
      <c r="Z110" s="375" t="e">
        <f t="shared" si="32"/>
        <v>#N/A</v>
      </c>
      <c r="AA110" s="375">
        <f t="shared" si="46"/>
      </c>
      <c r="AB110" s="377">
        <f t="shared" si="54"/>
        <v>1</v>
      </c>
      <c r="AC110" s="375" t="str">
        <f t="shared" si="55"/>
        <v> </v>
      </c>
      <c r="AD110" s="375" t="e">
        <f t="shared" si="56"/>
        <v>#N/A</v>
      </c>
      <c r="AE110" s="375" t="str">
        <f t="shared" si="57"/>
        <v> </v>
      </c>
      <c r="AF110" s="375" t="e">
        <f t="shared" si="37"/>
        <v>#N/A</v>
      </c>
      <c r="AG110" s="378" t="str">
        <f t="shared" si="58"/>
        <v> </v>
      </c>
      <c r="AH110" s="379" t="e">
        <f t="shared" si="59"/>
        <v>#VALUE!</v>
      </c>
      <c r="AI110" s="378" t="e">
        <f t="shared" si="60"/>
        <v>#VALUE!</v>
      </c>
      <c r="AJ110" s="375" t="e">
        <f t="shared" si="61"/>
        <v>#N/A</v>
      </c>
      <c r="AK110" s="375" t="e">
        <f>VLOOKUP(AJ110,'排出係数表'!$A$4:$C$202,2,FALSE)</f>
        <v>#N/A</v>
      </c>
      <c r="AL110" s="375" t="e">
        <f t="shared" si="41"/>
        <v>#N/A</v>
      </c>
      <c r="AM110" s="375" t="e">
        <f>VLOOKUP(AJ110,'排出係数表'!$A$4:$C$202,3,FALSE)</f>
        <v>#N/A</v>
      </c>
      <c r="AN110" s="375" t="e">
        <f t="shared" si="42"/>
        <v>#N/A</v>
      </c>
      <c r="AO110" s="375">
        <f t="shared" si="62"/>
      </c>
      <c r="AP110" s="379" t="str">
        <f t="shared" si="63"/>
        <v>-</v>
      </c>
      <c r="AQ110" s="375" t="e">
        <f t="shared" si="50"/>
        <v>#VALUE!</v>
      </c>
      <c r="AR110" s="375">
        <f t="shared" si="47"/>
      </c>
    </row>
    <row r="111" spans="1:44" s="380" customFormat="1" ht="13.5" customHeight="1">
      <c r="A111" s="375" t="str">
        <f>IF(ISBLANK(F111)=TRUE," ",IF(ISBLANK('様式2'!$C$23)=TRUE," ",'様式2'!$C$23))</f>
        <v> </v>
      </c>
      <c r="B111" s="375" t="e">
        <f>LOOKUP(LOOKUP(C111,'様式3'!$A$5:$A$44,'様式3'!$C$5:$C$44),'産業分類表'!$D$2:$D$68,'産業分類表'!$E$2:$E$68)</f>
        <v>#N/A</v>
      </c>
      <c r="C111" s="343"/>
      <c r="D111" s="343"/>
      <c r="E111" s="343"/>
      <c r="F111" s="343"/>
      <c r="G111" s="341"/>
      <c r="H111" s="349"/>
      <c r="I111" s="343"/>
      <c r="J111" s="343"/>
      <c r="K111" s="342"/>
      <c r="L111" s="350"/>
      <c r="M111" s="351"/>
      <c r="N111" s="343"/>
      <c r="O111" s="354">
        <f t="shared" si="52"/>
      </c>
      <c r="P111" s="354">
        <f t="shared" si="53"/>
      </c>
      <c r="Q111" s="389"/>
      <c r="R111" s="376">
        <f t="shared" si="48"/>
      </c>
      <c r="S111" s="376">
        <f t="shared" si="49"/>
      </c>
      <c r="T111" s="352"/>
      <c r="U111" s="353"/>
      <c r="V111" s="352"/>
      <c r="W111" s="343"/>
      <c r="X111" s="388">
        <f t="shared" si="45"/>
      </c>
      <c r="Y111" s="375" t="e">
        <f t="shared" si="31"/>
        <v>#N/A</v>
      </c>
      <c r="Z111" s="375" t="e">
        <f t="shared" si="32"/>
        <v>#N/A</v>
      </c>
      <c r="AA111" s="375">
        <f t="shared" si="46"/>
      </c>
      <c r="AB111" s="377">
        <f t="shared" si="54"/>
        <v>1</v>
      </c>
      <c r="AC111" s="375" t="str">
        <f t="shared" si="55"/>
        <v> </v>
      </c>
      <c r="AD111" s="375" t="e">
        <f t="shared" si="56"/>
        <v>#N/A</v>
      </c>
      <c r="AE111" s="375" t="str">
        <f t="shared" si="57"/>
        <v> </v>
      </c>
      <c r="AF111" s="375" t="e">
        <f t="shared" si="37"/>
        <v>#N/A</v>
      </c>
      <c r="AG111" s="378" t="str">
        <f t="shared" si="58"/>
        <v> </v>
      </c>
      <c r="AH111" s="379" t="e">
        <f t="shared" si="59"/>
        <v>#VALUE!</v>
      </c>
      <c r="AI111" s="378" t="e">
        <f t="shared" si="60"/>
        <v>#VALUE!</v>
      </c>
      <c r="AJ111" s="375" t="e">
        <f t="shared" si="61"/>
        <v>#N/A</v>
      </c>
      <c r="AK111" s="375" t="e">
        <f>VLOOKUP(AJ111,'排出係数表'!$A$4:$C$202,2,FALSE)</f>
        <v>#N/A</v>
      </c>
      <c r="AL111" s="375" t="e">
        <f t="shared" si="41"/>
        <v>#N/A</v>
      </c>
      <c r="AM111" s="375" t="e">
        <f>VLOOKUP(AJ111,'排出係数表'!$A$4:$C$202,3,FALSE)</f>
        <v>#N/A</v>
      </c>
      <c r="AN111" s="375" t="e">
        <f t="shared" si="42"/>
        <v>#N/A</v>
      </c>
      <c r="AO111" s="375">
        <f t="shared" si="62"/>
      </c>
      <c r="AP111" s="379" t="str">
        <f t="shared" si="63"/>
        <v>-</v>
      </c>
      <c r="AQ111" s="375" t="e">
        <f t="shared" si="50"/>
        <v>#VALUE!</v>
      </c>
      <c r="AR111" s="375">
        <f t="shared" si="47"/>
      </c>
    </row>
    <row r="112" spans="1:44" s="380" customFormat="1" ht="13.5" customHeight="1">
      <c r="A112" s="375" t="str">
        <f>IF(ISBLANK(F112)=TRUE," ",IF(ISBLANK('様式2'!$C$23)=TRUE," ",'様式2'!$C$23))</f>
        <v> </v>
      </c>
      <c r="B112" s="375" t="e">
        <f>LOOKUP(LOOKUP(C112,'様式3'!$A$5:$A$44,'様式3'!$C$5:$C$44),'産業分類表'!$D$2:$D$68,'産業分類表'!$E$2:$E$68)</f>
        <v>#N/A</v>
      </c>
      <c r="C112" s="343"/>
      <c r="D112" s="343"/>
      <c r="E112" s="343"/>
      <c r="F112" s="343"/>
      <c r="G112" s="341"/>
      <c r="H112" s="349"/>
      <c r="I112" s="343"/>
      <c r="J112" s="343"/>
      <c r="K112" s="342"/>
      <c r="L112" s="350"/>
      <c r="M112" s="351"/>
      <c r="N112" s="343"/>
      <c r="O112" s="354">
        <f t="shared" si="52"/>
      </c>
      <c r="P112" s="354">
        <f t="shared" si="53"/>
      </c>
      <c r="Q112" s="389"/>
      <c r="R112" s="376">
        <f t="shared" si="48"/>
      </c>
      <c r="S112" s="376">
        <f t="shared" si="49"/>
      </c>
      <c r="T112" s="352"/>
      <c r="U112" s="353"/>
      <c r="V112" s="352"/>
      <c r="W112" s="343"/>
      <c r="X112" s="388">
        <f t="shared" si="45"/>
      </c>
      <c r="Y112" s="375" t="e">
        <f t="shared" si="31"/>
        <v>#N/A</v>
      </c>
      <c r="Z112" s="375" t="e">
        <f t="shared" si="32"/>
        <v>#N/A</v>
      </c>
      <c r="AA112" s="375">
        <f t="shared" si="46"/>
      </c>
      <c r="AB112" s="377">
        <f t="shared" si="54"/>
        <v>1</v>
      </c>
      <c r="AC112" s="375" t="str">
        <f t="shared" si="55"/>
        <v> </v>
      </c>
      <c r="AD112" s="375" t="e">
        <f t="shared" si="56"/>
        <v>#N/A</v>
      </c>
      <c r="AE112" s="375" t="str">
        <f t="shared" si="57"/>
        <v> </v>
      </c>
      <c r="AF112" s="375" t="e">
        <f t="shared" si="37"/>
        <v>#N/A</v>
      </c>
      <c r="AG112" s="378" t="str">
        <f t="shared" si="58"/>
        <v> </v>
      </c>
      <c r="AH112" s="379" t="e">
        <f t="shared" si="59"/>
        <v>#VALUE!</v>
      </c>
      <c r="AI112" s="378" t="e">
        <f t="shared" si="60"/>
        <v>#VALUE!</v>
      </c>
      <c r="AJ112" s="375" t="e">
        <f t="shared" si="61"/>
        <v>#N/A</v>
      </c>
      <c r="AK112" s="375" t="e">
        <f>VLOOKUP(AJ112,'排出係数表'!$A$4:$C$202,2,FALSE)</f>
        <v>#N/A</v>
      </c>
      <c r="AL112" s="375" t="e">
        <f t="shared" si="41"/>
        <v>#N/A</v>
      </c>
      <c r="AM112" s="375" t="e">
        <f>VLOOKUP(AJ112,'排出係数表'!$A$4:$C$202,3,FALSE)</f>
        <v>#N/A</v>
      </c>
      <c r="AN112" s="375" t="e">
        <f t="shared" si="42"/>
        <v>#N/A</v>
      </c>
      <c r="AO112" s="375">
        <f t="shared" si="62"/>
      </c>
      <c r="AP112" s="379" t="str">
        <f t="shared" si="63"/>
        <v>-</v>
      </c>
      <c r="AQ112" s="375" t="e">
        <f t="shared" si="50"/>
        <v>#VALUE!</v>
      </c>
      <c r="AR112" s="375">
        <f t="shared" si="47"/>
      </c>
    </row>
    <row r="113" spans="1:44" s="380" customFormat="1" ht="13.5" customHeight="1">
      <c r="A113" s="375" t="str">
        <f>IF(ISBLANK(F113)=TRUE," ",IF(ISBLANK('様式2'!$C$23)=TRUE," ",'様式2'!$C$23))</f>
        <v> </v>
      </c>
      <c r="B113" s="375" t="e">
        <f>LOOKUP(LOOKUP(C113,'様式3'!$A$5:$A$44,'様式3'!$C$5:$C$44),'産業分類表'!$D$2:$D$68,'産業分類表'!$E$2:$E$68)</f>
        <v>#N/A</v>
      </c>
      <c r="C113" s="343"/>
      <c r="D113" s="343"/>
      <c r="E113" s="343"/>
      <c r="F113" s="343"/>
      <c r="G113" s="341"/>
      <c r="H113" s="349"/>
      <c r="I113" s="343"/>
      <c r="J113" s="343"/>
      <c r="K113" s="342"/>
      <c r="L113" s="350"/>
      <c r="M113" s="351"/>
      <c r="N113" s="343"/>
      <c r="O113" s="354">
        <f t="shared" si="52"/>
      </c>
      <c r="P113" s="354">
        <f t="shared" si="53"/>
      </c>
      <c r="Q113" s="389"/>
      <c r="R113" s="376">
        <f t="shared" si="48"/>
      </c>
      <c r="S113" s="376">
        <f t="shared" si="49"/>
      </c>
      <c r="T113" s="352"/>
      <c r="U113" s="353"/>
      <c r="V113" s="352"/>
      <c r="W113" s="343"/>
      <c r="X113" s="388">
        <f t="shared" si="45"/>
      </c>
      <c r="Y113" s="375" t="e">
        <f t="shared" si="31"/>
        <v>#N/A</v>
      </c>
      <c r="Z113" s="375" t="e">
        <f t="shared" si="32"/>
        <v>#N/A</v>
      </c>
      <c r="AA113" s="375">
        <f t="shared" si="46"/>
      </c>
      <c r="AB113" s="377">
        <f t="shared" si="54"/>
        <v>1</v>
      </c>
      <c r="AC113" s="375" t="str">
        <f t="shared" si="55"/>
        <v> </v>
      </c>
      <c r="AD113" s="375" t="e">
        <f t="shared" si="56"/>
        <v>#N/A</v>
      </c>
      <c r="AE113" s="375" t="str">
        <f t="shared" si="57"/>
        <v> </v>
      </c>
      <c r="AF113" s="375" t="e">
        <f t="shared" si="37"/>
        <v>#N/A</v>
      </c>
      <c r="AG113" s="378" t="str">
        <f t="shared" si="58"/>
        <v> </v>
      </c>
      <c r="AH113" s="379" t="e">
        <f t="shared" si="59"/>
        <v>#VALUE!</v>
      </c>
      <c r="AI113" s="378" t="e">
        <f t="shared" si="60"/>
        <v>#VALUE!</v>
      </c>
      <c r="AJ113" s="375" t="e">
        <f t="shared" si="61"/>
        <v>#N/A</v>
      </c>
      <c r="AK113" s="375" t="e">
        <f>VLOOKUP(AJ113,'排出係数表'!$A$4:$C$202,2,FALSE)</f>
        <v>#N/A</v>
      </c>
      <c r="AL113" s="375" t="e">
        <f t="shared" si="41"/>
        <v>#N/A</v>
      </c>
      <c r="AM113" s="375" t="e">
        <f>VLOOKUP(AJ113,'排出係数表'!$A$4:$C$202,3,FALSE)</f>
        <v>#N/A</v>
      </c>
      <c r="AN113" s="375" t="e">
        <f t="shared" si="42"/>
        <v>#N/A</v>
      </c>
      <c r="AO113" s="375">
        <f t="shared" si="62"/>
      </c>
      <c r="AP113" s="379" t="str">
        <f t="shared" si="63"/>
        <v>-</v>
      </c>
      <c r="AQ113" s="375" t="e">
        <f t="shared" si="50"/>
        <v>#VALUE!</v>
      </c>
      <c r="AR113" s="375">
        <f t="shared" si="47"/>
      </c>
    </row>
    <row r="114" spans="1:44" s="380" customFormat="1" ht="13.5" customHeight="1">
      <c r="A114" s="375" t="str">
        <f>IF(ISBLANK(F114)=TRUE," ",IF(ISBLANK('様式2'!$C$23)=TRUE," ",'様式2'!$C$23))</f>
        <v> </v>
      </c>
      <c r="B114" s="375" t="e">
        <f>LOOKUP(LOOKUP(C114,'様式3'!$A$5:$A$44,'様式3'!$C$5:$C$44),'産業分類表'!$D$2:$D$68,'産業分類表'!$E$2:$E$68)</f>
        <v>#N/A</v>
      </c>
      <c r="C114" s="343"/>
      <c r="D114" s="343"/>
      <c r="E114" s="343"/>
      <c r="F114" s="343"/>
      <c r="G114" s="341"/>
      <c r="H114" s="349"/>
      <c r="I114" s="343"/>
      <c r="J114" s="343"/>
      <c r="K114" s="342"/>
      <c r="L114" s="350"/>
      <c r="M114" s="351"/>
      <c r="N114" s="343"/>
      <c r="O114" s="354">
        <f t="shared" si="52"/>
      </c>
      <c r="P114" s="354">
        <f t="shared" si="53"/>
      </c>
      <c r="Q114" s="389"/>
      <c r="R114" s="376">
        <f t="shared" si="48"/>
      </c>
      <c r="S114" s="376">
        <f t="shared" si="49"/>
      </c>
      <c r="T114" s="352"/>
      <c r="U114" s="353"/>
      <c r="V114" s="352"/>
      <c r="W114" s="343"/>
      <c r="X114" s="388">
        <f t="shared" si="45"/>
      </c>
      <c r="Y114" s="375" t="e">
        <f t="shared" si="31"/>
        <v>#N/A</v>
      </c>
      <c r="Z114" s="375" t="e">
        <f t="shared" si="32"/>
        <v>#N/A</v>
      </c>
      <c r="AA114" s="375">
        <f t="shared" si="46"/>
      </c>
      <c r="AB114" s="377">
        <f t="shared" si="54"/>
        <v>1</v>
      </c>
      <c r="AC114" s="375" t="str">
        <f t="shared" si="55"/>
        <v> </v>
      </c>
      <c r="AD114" s="375" t="e">
        <f t="shared" si="56"/>
        <v>#N/A</v>
      </c>
      <c r="AE114" s="375" t="str">
        <f t="shared" si="57"/>
        <v> </v>
      </c>
      <c r="AF114" s="375" t="e">
        <f t="shared" si="37"/>
        <v>#N/A</v>
      </c>
      <c r="AG114" s="378" t="str">
        <f t="shared" si="58"/>
        <v> </v>
      </c>
      <c r="AH114" s="379" t="e">
        <f t="shared" si="59"/>
        <v>#VALUE!</v>
      </c>
      <c r="AI114" s="378" t="e">
        <f t="shared" si="60"/>
        <v>#VALUE!</v>
      </c>
      <c r="AJ114" s="375" t="e">
        <f t="shared" si="61"/>
        <v>#N/A</v>
      </c>
      <c r="AK114" s="375" t="e">
        <f>VLOOKUP(AJ114,'排出係数表'!$A$4:$C$202,2,FALSE)</f>
        <v>#N/A</v>
      </c>
      <c r="AL114" s="375" t="e">
        <f t="shared" si="41"/>
        <v>#N/A</v>
      </c>
      <c r="AM114" s="375" t="e">
        <f>VLOOKUP(AJ114,'排出係数表'!$A$4:$C$202,3,FALSE)</f>
        <v>#N/A</v>
      </c>
      <c r="AN114" s="375" t="e">
        <f t="shared" si="42"/>
        <v>#N/A</v>
      </c>
      <c r="AO114" s="375">
        <f t="shared" si="62"/>
      </c>
      <c r="AP114" s="379" t="str">
        <f t="shared" si="63"/>
        <v>-</v>
      </c>
      <c r="AQ114" s="375" t="e">
        <f t="shared" si="50"/>
        <v>#VALUE!</v>
      </c>
      <c r="AR114" s="375">
        <f t="shared" si="47"/>
      </c>
    </row>
    <row r="115" spans="1:44" s="380" customFormat="1" ht="13.5" customHeight="1">
      <c r="A115" s="375" t="str">
        <f>IF(ISBLANK(F115)=TRUE," ",IF(ISBLANK('様式2'!$C$23)=TRUE," ",'様式2'!$C$23))</f>
        <v> </v>
      </c>
      <c r="B115" s="375" t="e">
        <f>LOOKUP(LOOKUP(C115,'様式3'!$A$5:$A$44,'様式3'!$C$5:$C$44),'産業分類表'!$D$2:$D$68,'産業分類表'!$E$2:$E$68)</f>
        <v>#N/A</v>
      </c>
      <c r="C115" s="343"/>
      <c r="D115" s="343"/>
      <c r="E115" s="343"/>
      <c r="F115" s="343"/>
      <c r="G115" s="341"/>
      <c r="H115" s="349"/>
      <c r="I115" s="343"/>
      <c r="J115" s="343"/>
      <c r="K115" s="342"/>
      <c r="L115" s="350"/>
      <c r="M115" s="351"/>
      <c r="N115" s="343"/>
      <c r="O115" s="354">
        <f t="shared" si="52"/>
      </c>
      <c r="P115" s="354">
        <f t="shared" si="53"/>
      </c>
      <c r="Q115" s="389"/>
      <c r="R115" s="376">
        <f t="shared" si="48"/>
      </c>
      <c r="S115" s="376">
        <f t="shared" si="49"/>
      </c>
      <c r="T115" s="352"/>
      <c r="U115" s="353"/>
      <c r="V115" s="352"/>
      <c r="W115" s="343"/>
      <c r="X115" s="388">
        <f t="shared" si="45"/>
      </c>
      <c r="Y115" s="375" t="e">
        <f t="shared" si="31"/>
        <v>#N/A</v>
      </c>
      <c r="Z115" s="375" t="e">
        <f t="shared" si="32"/>
        <v>#N/A</v>
      </c>
      <c r="AA115" s="375">
        <f t="shared" si="46"/>
      </c>
      <c r="AB115" s="377">
        <f t="shared" si="54"/>
        <v>1</v>
      </c>
      <c r="AC115" s="375" t="str">
        <f t="shared" si="55"/>
        <v> </v>
      </c>
      <c r="AD115" s="375" t="e">
        <f t="shared" si="56"/>
        <v>#N/A</v>
      </c>
      <c r="AE115" s="375" t="str">
        <f t="shared" si="57"/>
        <v> </v>
      </c>
      <c r="AF115" s="375" t="e">
        <f t="shared" si="37"/>
        <v>#N/A</v>
      </c>
      <c r="AG115" s="378" t="str">
        <f t="shared" si="58"/>
        <v> </v>
      </c>
      <c r="AH115" s="379" t="e">
        <f t="shared" si="59"/>
        <v>#VALUE!</v>
      </c>
      <c r="AI115" s="378" t="e">
        <f t="shared" si="60"/>
        <v>#VALUE!</v>
      </c>
      <c r="AJ115" s="375" t="e">
        <f t="shared" si="61"/>
        <v>#N/A</v>
      </c>
      <c r="AK115" s="375" t="e">
        <f>VLOOKUP(AJ115,'排出係数表'!$A$4:$C$202,2,FALSE)</f>
        <v>#N/A</v>
      </c>
      <c r="AL115" s="375" t="e">
        <f t="shared" si="41"/>
        <v>#N/A</v>
      </c>
      <c r="AM115" s="375" t="e">
        <f>VLOOKUP(AJ115,'排出係数表'!$A$4:$C$202,3,FALSE)</f>
        <v>#N/A</v>
      </c>
      <c r="AN115" s="375" t="e">
        <f t="shared" si="42"/>
        <v>#N/A</v>
      </c>
      <c r="AO115" s="375">
        <f t="shared" si="62"/>
      </c>
      <c r="AP115" s="379" t="str">
        <f t="shared" si="63"/>
        <v>-</v>
      </c>
      <c r="AQ115" s="375" t="e">
        <f t="shared" si="50"/>
        <v>#VALUE!</v>
      </c>
      <c r="AR115" s="375">
        <f t="shared" si="47"/>
      </c>
    </row>
    <row r="116" spans="1:44" s="380" customFormat="1" ht="13.5" customHeight="1">
      <c r="A116" s="375" t="str">
        <f>IF(ISBLANK(F116)=TRUE," ",IF(ISBLANK('様式2'!$C$23)=TRUE," ",'様式2'!$C$23))</f>
        <v> </v>
      </c>
      <c r="B116" s="375" t="e">
        <f>LOOKUP(LOOKUP(C116,'様式3'!$A$5:$A$44,'様式3'!$C$5:$C$44),'産業分類表'!$D$2:$D$68,'産業分類表'!$E$2:$E$68)</f>
        <v>#N/A</v>
      </c>
      <c r="C116" s="343"/>
      <c r="D116" s="343"/>
      <c r="E116" s="343"/>
      <c r="F116" s="343"/>
      <c r="G116" s="341"/>
      <c r="H116" s="349"/>
      <c r="I116" s="343"/>
      <c r="J116" s="343"/>
      <c r="K116" s="342"/>
      <c r="L116" s="350"/>
      <c r="M116" s="351"/>
      <c r="N116" s="343"/>
      <c r="O116" s="354">
        <f t="shared" si="52"/>
      </c>
      <c r="P116" s="354">
        <f t="shared" si="53"/>
      </c>
      <c r="Q116" s="389"/>
      <c r="R116" s="376">
        <f t="shared" si="48"/>
      </c>
      <c r="S116" s="376">
        <f t="shared" si="49"/>
      </c>
      <c r="T116" s="352"/>
      <c r="U116" s="353"/>
      <c r="V116" s="352"/>
      <c r="W116" s="343"/>
      <c r="X116" s="388">
        <f t="shared" si="45"/>
      </c>
      <c r="Y116" s="375" t="e">
        <f t="shared" si="31"/>
        <v>#N/A</v>
      </c>
      <c r="Z116" s="375" t="e">
        <f t="shared" si="32"/>
        <v>#N/A</v>
      </c>
      <c r="AA116" s="375">
        <f t="shared" si="46"/>
      </c>
      <c r="AB116" s="377">
        <f t="shared" si="54"/>
        <v>1</v>
      </c>
      <c r="AC116" s="375" t="str">
        <f t="shared" si="55"/>
        <v> </v>
      </c>
      <c r="AD116" s="375" t="e">
        <f t="shared" si="56"/>
        <v>#N/A</v>
      </c>
      <c r="AE116" s="375" t="str">
        <f t="shared" si="57"/>
        <v> </v>
      </c>
      <c r="AF116" s="375" t="e">
        <f t="shared" si="37"/>
        <v>#N/A</v>
      </c>
      <c r="AG116" s="378" t="str">
        <f t="shared" si="58"/>
        <v> </v>
      </c>
      <c r="AH116" s="379" t="e">
        <f t="shared" si="59"/>
        <v>#VALUE!</v>
      </c>
      <c r="AI116" s="378" t="e">
        <f t="shared" si="60"/>
        <v>#VALUE!</v>
      </c>
      <c r="AJ116" s="375" t="e">
        <f t="shared" si="61"/>
        <v>#N/A</v>
      </c>
      <c r="AK116" s="375" t="e">
        <f>VLOOKUP(AJ116,'排出係数表'!$A$4:$C$202,2,FALSE)</f>
        <v>#N/A</v>
      </c>
      <c r="AL116" s="375" t="e">
        <f t="shared" si="41"/>
        <v>#N/A</v>
      </c>
      <c r="AM116" s="375" t="e">
        <f>VLOOKUP(AJ116,'排出係数表'!$A$4:$C$202,3,FALSE)</f>
        <v>#N/A</v>
      </c>
      <c r="AN116" s="375" t="e">
        <f t="shared" si="42"/>
        <v>#N/A</v>
      </c>
      <c r="AO116" s="375">
        <f t="shared" si="62"/>
      </c>
      <c r="AP116" s="379" t="str">
        <f t="shared" si="63"/>
        <v>-</v>
      </c>
      <c r="AQ116" s="375" t="e">
        <f t="shared" si="50"/>
        <v>#VALUE!</v>
      </c>
      <c r="AR116" s="375">
        <f t="shared" si="47"/>
      </c>
    </row>
    <row r="117" spans="1:44" s="380" customFormat="1" ht="13.5" customHeight="1">
      <c r="A117" s="375" t="str">
        <f>IF(ISBLANK(F117)=TRUE," ",IF(ISBLANK('様式2'!$C$23)=TRUE," ",'様式2'!$C$23))</f>
        <v> </v>
      </c>
      <c r="B117" s="375" t="e">
        <f>LOOKUP(LOOKUP(C117,'様式3'!$A$5:$A$44,'様式3'!$C$5:$C$44),'産業分類表'!$D$2:$D$68,'産業分類表'!$E$2:$E$68)</f>
        <v>#N/A</v>
      </c>
      <c r="C117" s="343"/>
      <c r="D117" s="343"/>
      <c r="E117" s="343"/>
      <c r="F117" s="343"/>
      <c r="G117" s="341"/>
      <c r="H117" s="349"/>
      <c r="I117" s="343"/>
      <c r="J117" s="343"/>
      <c r="K117" s="342"/>
      <c r="L117" s="350"/>
      <c r="M117" s="351"/>
      <c r="N117" s="343"/>
      <c r="O117" s="354">
        <f t="shared" si="52"/>
      </c>
      <c r="P117" s="354">
        <f t="shared" si="53"/>
      </c>
      <c r="Q117" s="389"/>
      <c r="R117" s="376">
        <f t="shared" si="48"/>
      </c>
      <c r="S117" s="376">
        <f t="shared" si="49"/>
      </c>
      <c r="T117" s="352"/>
      <c r="U117" s="353"/>
      <c r="V117" s="352"/>
      <c r="W117" s="343"/>
      <c r="X117" s="388">
        <f t="shared" si="45"/>
      </c>
      <c r="Y117" s="375" t="e">
        <f t="shared" si="31"/>
        <v>#N/A</v>
      </c>
      <c r="Z117" s="375" t="e">
        <f t="shared" si="32"/>
        <v>#N/A</v>
      </c>
      <c r="AA117" s="375">
        <f t="shared" si="46"/>
      </c>
      <c r="AB117" s="377">
        <f t="shared" si="54"/>
        <v>1</v>
      </c>
      <c r="AC117" s="375" t="str">
        <f t="shared" si="55"/>
        <v> </v>
      </c>
      <c r="AD117" s="375" t="e">
        <f t="shared" si="56"/>
        <v>#N/A</v>
      </c>
      <c r="AE117" s="375" t="str">
        <f t="shared" si="57"/>
        <v> </v>
      </c>
      <c r="AF117" s="375" t="e">
        <f t="shared" si="37"/>
        <v>#N/A</v>
      </c>
      <c r="AG117" s="378" t="str">
        <f t="shared" si="58"/>
        <v> </v>
      </c>
      <c r="AH117" s="379" t="e">
        <f t="shared" si="59"/>
        <v>#VALUE!</v>
      </c>
      <c r="AI117" s="378" t="e">
        <f t="shared" si="60"/>
        <v>#VALUE!</v>
      </c>
      <c r="AJ117" s="375" t="e">
        <f t="shared" si="61"/>
        <v>#N/A</v>
      </c>
      <c r="AK117" s="375" t="e">
        <f>VLOOKUP(AJ117,'排出係数表'!$A$4:$C$202,2,FALSE)</f>
        <v>#N/A</v>
      </c>
      <c r="AL117" s="375" t="e">
        <f t="shared" si="41"/>
        <v>#N/A</v>
      </c>
      <c r="AM117" s="375" t="e">
        <f>VLOOKUP(AJ117,'排出係数表'!$A$4:$C$202,3,FALSE)</f>
        <v>#N/A</v>
      </c>
      <c r="AN117" s="375" t="e">
        <f t="shared" si="42"/>
        <v>#N/A</v>
      </c>
      <c r="AO117" s="375">
        <f t="shared" si="62"/>
      </c>
      <c r="AP117" s="379" t="str">
        <f t="shared" si="63"/>
        <v>-</v>
      </c>
      <c r="AQ117" s="375" t="e">
        <f t="shared" si="50"/>
        <v>#VALUE!</v>
      </c>
      <c r="AR117" s="375">
        <f t="shared" si="47"/>
      </c>
    </row>
    <row r="118" spans="1:44" s="380" customFormat="1" ht="13.5" customHeight="1">
      <c r="A118" s="375" t="str">
        <f>IF(ISBLANK(F118)=TRUE," ",IF(ISBLANK('様式2'!$C$23)=TRUE," ",'様式2'!$C$23))</f>
        <v> </v>
      </c>
      <c r="B118" s="375" t="e">
        <f>LOOKUP(LOOKUP(C118,'様式3'!$A$5:$A$44,'様式3'!$C$5:$C$44),'産業分類表'!$D$2:$D$68,'産業分類表'!$E$2:$E$68)</f>
        <v>#N/A</v>
      </c>
      <c r="C118" s="343"/>
      <c r="D118" s="343"/>
      <c r="E118" s="343"/>
      <c r="F118" s="343"/>
      <c r="G118" s="341"/>
      <c r="H118" s="349"/>
      <c r="I118" s="343"/>
      <c r="J118" s="343"/>
      <c r="K118" s="342"/>
      <c r="L118" s="350"/>
      <c r="M118" s="351"/>
      <c r="N118" s="343"/>
      <c r="O118" s="354">
        <f t="shared" si="52"/>
      </c>
      <c r="P118" s="354">
        <f t="shared" si="53"/>
      </c>
      <c r="Q118" s="389"/>
      <c r="R118" s="376">
        <f t="shared" si="48"/>
      </c>
      <c r="S118" s="376">
        <f t="shared" si="49"/>
      </c>
      <c r="T118" s="352"/>
      <c r="U118" s="353"/>
      <c r="V118" s="352"/>
      <c r="W118" s="343"/>
      <c r="X118" s="388">
        <f t="shared" si="45"/>
      </c>
      <c r="Y118" s="375" t="e">
        <f t="shared" si="31"/>
        <v>#N/A</v>
      </c>
      <c r="Z118" s="375" t="e">
        <f t="shared" si="32"/>
        <v>#N/A</v>
      </c>
      <c r="AA118" s="375">
        <f t="shared" si="46"/>
      </c>
      <c r="AB118" s="377">
        <f t="shared" si="54"/>
        <v>1</v>
      </c>
      <c r="AC118" s="375" t="str">
        <f t="shared" si="55"/>
        <v> </v>
      </c>
      <c r="AD118" s="375" t="e">
        <f t="shared" si="56"/>
        <v>#N/A</v>
      </c>
      <c r="AE118" s="375" t="str">
        <f t="shared" si="57"/>
        <v> </v>
      </c>
      <c r="AF118" s="375" t="e">
        <f t="shared" si="37"/>
        <v>#N/A</v>
      </c>
      <c r="AG118" s="378" t="str">
        <f t="shared" si="58"/>
        <v> </v>
      </c>
      <c r="AH118" s="379" t="e">
        <f t="shared" si="59"/>
        <v>#VALUE!</v>
      </c>
      <c r="AI118" s="378" t="e">
        <f t="shared" si="60"/>
        <v>#VALUE!</v>
      </c>
      <c r="AJ118" s="375" t="e">
        <f t="shared" si="61"/>
        <v>#N/A</v>
      </c>
      <c r="AK118" s="375" t="e">
        <f>VLOOKUP(AJ118,'排出係数表'!$A$4:$C$202,2,FALSE)</f>
        <v>#N/A</v>
      </c>
      <c r="AL118" s="375" t="e">
        <f t="shared" si="41"/>
        <v>#N/A</v>
      </c>
      <c r="AM118" s="375" t="e">
        <f>VLOOKUP(AJ118,'排出係数表'!$A$4:$C$202,3,FALSE)</f>
        <v>#N/A</v>
      </c>
      <c r="AN118" s="375" t="e">
        <f t="shared" si="42"/>
        <v>#N/A</v>
      </c>
      <c r="AO118" s="375">
        <f t="shared" si="62"/>
      </c>
      <c r="AP118" s="379" t="str">
        <f t="shared" si="63"/>
        <v>-</v>
      </c>
      <c r="AQ118" s="375" t="e">
        <f t="shared" si="50"/>
        <v>#VALUE!</v>
      </c>
      <c r="AR118" s="375">
        <f t="shared" si="47"/>
      </c>
    </row>
    <row r="119" spans="1:44" s="380" customFormat="1" ht="13.5" customHeight="1">
      <c r="A119" s="375" t="str">
        <f>IF(ISBLANK(F119)=TRUE," ",IF(ISBLANK('様式2'!$C$23)=TRUE," ",'様式2'!$C$23))</f>
        <v> </v>
      </c>
      <c r="B119" s="375" t="e">
        <f>LOOKUP(LOOKUP(C119,'様式3'!$A$5:$A$44,'様式3'!$C$5:$C$44),'産業分類表'!$D$2:$D$68,'産業分類表'!$E$2:$E$68)</f>
        <v>#N/A</v>
      </c>
      <c r="C119" s="343"/>
      <c r="D119" s="343"/>
      <c r="E119" s="343"/>
      <c r="F119" s="343"/>
      <c r="G119" s="341"/>
      <c r="H119" s="349"/>
      <c r="I119" s="343"/>
      <c r="J119" s="343"/>
      <c r="K119" s="342"/>
      <c r="L119" s="350"/>
      <c r="M119" s="351"/>
      <c r="N119" s="343"/>
      <c r="O119" s="354">
        <f t="shared" si="52"/>
      </c>
      <c r="P119" s="354">
        <f t="shared" si="53"/>
      </c>
      <c r="Q119" s="389"/>
      <c r="R119" s="376">
        <f t="shared" si="48"/>
      </c>
      <c r="S119" s="376">
        <f t="shared" si="49"/>
      </c>
      <c r="T119" s="352"/>
      <c r="U119" s="353"/>
      <c r="V119" s="352"/>
      <c r="W119" s="343"/>
      <c r="X119" s="388">
        <f t="shared" si="45"/>
      </c>
      <c r="Y119" s="375" t="e">
        <f t="shared" si="31"/>
        <v>#N/A</v>
      </c>
      <c r="Z119" s="375" t="e">
        <f t="shared" si="32"/>
        <v>#N/A</v>
      </c>
      <c r="AA119" s="375">
        <f t="shared" si="46"/>
      </c>
      <c r="AB119" s="377">
        <f t="shared" si="54"/>
        <v>1</v>
      </c>
      <c r="AC119" s="375" t="str">
        <f t="shared" si="55"/>
        <v> </v>
      </c>
      <c r="AD119" s="375" t="e">
        <f t="shared" si="56"/>
        <v>#N/A</v>
      </c>
      <c r="AE119" s="375" t="str">
        <f t="shared" si="57"/>
        <v> </v>
      </c>
      <c r="AF119" s="375" t="e">
        <f t="shared" si="37"/>
        <v>#N/A</v>
      </c>
      <c r="AG119" s="378" t="str">
        <f t="shared" si="58"/>
        <v> </v>
      </c>
      <c r="AH119" s="379" t="e">
        <f t="shared" si="59"/>
        <v>#VALUE!</v>
      </c>
      <c r="AI119" s="378" t="e">
        <f t="shared" si="60"/>
        <v>#VALUE!</v>
      </c>
      <c r="AJ119" s="375" t="e">
        <f t="shared" si="61"/>
        <v>#N/A</v>
      </c>
      <c r="AK119" s="375" t="e">
        <f>VLOOKUP(AJ119,'排出係数表'!$A$4:$C$202,2,FALSE)</f>
        <v>#N/A</v>
      </c>
      <c r="AL119" s="375" t="e">
        <f t="shared" si="41"/>
        <v>#N/A</v>
      </c>
      <c r="AM119" s="375" t="e">
        <f>VLOOKUP(AJ119,'排出係数表'!$A$4:$C$202,3,FALSE)</f>
        <v>#N/A</v>
      </c>
      <c r="AN119" s="375" t="e">
        <f t="shared" si="42"/>
        <v>#N/A</v>
      </c>
      <c r="AO119" s="375">
        <f t="shared" si="62"/>
      </c>
      <c r="AP119" s="379" t="str">
        <f t="shared" si="63"/>
        <v>-</v>
      </c>
      <c r="AQ119" s="375" t="e">
        <f t="shared" si="50"/>
        <v>#VALUE!</v>
      </c>
      <c r="AR119" s="375">
        <f t="shared" si="47"/>
      </c>
    </row>
    <row r="120" spans="1:44" s="380" customFormat="1" ht="13.5" customHeight="1">
      <c r="A120" s="375" t="str">
        <f>IF(ISBLANK(F120)=TRUE," ",IF(ISBLANK('様式2'!$C$23)=TRUE," ",'様式2'!$C$23))</f>
        <v> </v>
      </c>
      <c r="B120" s="375" t="e">
        <f>LOOKUP(LOOKUP(C120,'様式3'!$A$5:$A$44,'様式3'!$C$5:$C$44),'産業分類表'!$D$2:$D$68,'産業分類表'!$E$2:$E$68)</f>
        <v>#N/A</v>
      </c>
      <c r="C120" s="343"/>
      <c r="D120" s="343"/>
      <c r="E120" s="343"/>
      <c r="F120" s="343"/>
      <c r="G120" s="341"/>
      <c r="H120" s="349"/>
      <c r="I120" s="343"/>
      <c r="J120" s="343"/>
      <c r="K120" s="342"/>
      <c r="L120" s="350"/>
      <c r="M120" s="351"/>
      <c r="N120" s="343"/>
      <c r="O120" s="354">
        <f t="shared" si="52"/>
      </c>
      <c r="P120" s="354">
        <f t="shared" si="53"/>
      </c>
      <c r="Q120" s="389"/>
      <c r="R120" s="376">
        <f t="shared" si="48"/>
      </c>
      <c r="S120" s="376">
        <f t="shared" si="49"/>
      </c>
      <c r="T120" s="352"/>
      <c r="U120" s="353"/>
      <c r="V120" s="352"/>
      <c r="W120" s="343"/>
      <c r="X120" s="388">
        <f t="shared" si="45"/>
      </c>
      <c r="Y120" s="375" t="e">
        <f t="shared" si="31"/>
        <v>#N/A</v>
      </c>
      <c r="Z120" s="375" t="e">
        <f t="shared" si="32"/>
        <v>#N/A</v>
      </c>
      <c r="AA120" s="375">
        <f t="shared" si="46"/>
      </c>
      <c r="AB120" s="377">
        <f t="shared" si="54"/>
        <v>1</v>
      </c>
      <c r="AC120" s="375" t="str">
        <f t="shared" si="55"/>
        <v> </v>
      </c>
      <c r="AD120" s="375" t="e">
        <f t="shared" si="56"/>
        <v>#N/A</v>
      </c>
      <c r="AE120" s="375" t="str">
        <f t="shared" si="57"/>
        <v> </v>
      </c>
      <c r="AF120" s="375" t="e">
        <f t="shared" si="37"/>
        <v>#N/A</v>
      </c>
      <c r="AG120" s="378" t="str">
        <f t="shared" si="58"/>
        <v> </v>
      </c>
      <c r="AH120" s="379" t="e">
        <f t="shared" si="59"/>
        <v>#VALUE!</v>
      </c>
      <c r="AI120" s="378" t="e">
        <f t="shared" si="60"/>
        <v>#VALUE!</v>
      </c>
      <c r="AJ120" s="375" t="e">
        <f t="shared" si="61"/>
        <v>#N/A</v>
      </c>
      <c r="AK120" s="375" t="e">
        <f>VLOOKUP(AJ120,'排出係数表'!$A$4:$C$202,2,FALSE)</f>
        <v>#N/A</v>
      </c>
      <c r="AL120" s="375" t="e">
        <f t="shared" si="41"/>
        <v>#N/A</v>
      </c>
      <c r="AM120" s="375" t="e">
        <f>VLOOKUP(AJ120,'排出係数表'!$A$4:$C$202,3,FALSE)</f>
        <v>#N/A</v>
      </c>
      <c r="AN120" s="375" t="e">
        <f t="shared" si="42"/>
        <v>#N/A</v>
      </c>
      <c r="AO120" s="375">
        <f t="shared" si="62"/>
      </c>
      <c r="AP120" s="379" t="str">
        <f t="shared" si="63"/>
        <v>-</v>
      </c>
      <c r="AQ120" s="375" t="e">
        <f t="shared" si="50"/>
        <v>#VALUE!</v>
      </c>
      <c r="AR120" s="375">
        <f t="shared" si="47"/>
      </c>
    </row>
    <row r="121" spans="1:44" s="380" customFormat="1" ht="13.5" customHeight="1">
      <c r="A121" s="375" t="str">
        <f>IF(ISBLANK(F121)=TRUE," ",IF(ISBLANK('様式2'!$C$23)=TRUE," ",'様式2'!$C$23))</f>
        <v> </v>
      </c>
      <c r="B121" s="375" t="e">
        <f>LOOKUP(LOOKUP(C121,'様式3'!$A$5:$A$44,'様式3'!$C$5:$C$44),'産業分類表'!$D$2:$D$68,'産業分類表'!$E$2:$E$68)</f>
        <v>#N/A</v>
      </c>
      <c r="C121" s="343"/>
      <c r="D121" s="343"/>
      <c r="E121" s="343"/>
      <c r="F121" s="343"/>
      <c r="G121" s="341"/>
      <c r="H121" s="349"/>
      <c r="I121" s="343"/>
      <c r="J121" s="343"/>
      <c r="K121" s="342"/>
      <c r="L121" s="350"/>
      <c r="M121" s="351"/>
      <c r="N121" s="343"/>
      <c r="O121" s="354">
        <f t="shared" si="52"/>
      </c>
      <c r="P121" s="354">
        <f t="shared" si="53"/>
      </c>
      <c r="Q121" s="389"/>
      <c r="R121" s="376">
        <f t="shared" si="48"/>
      </c>
      <c r="S121" s="376">
        <f t="shared" si="49"/>
      </c>
      <c r="T121" s="352"/>
      <c r="U121" s="353"/>
      <c r="V121" s="352"/>
      <c r="W121" s="343"/>
      <c r="X121" s="388">
        <f t="shared" si="45"/>
      </c>
      <c r="Y121" s="375" t="e">
        <f t="shared" si="31"/>
        <v>#N/A</v>
      </c>
      <c r="Z121" s="375" t="e">
        <f t="shared" si="32"/>
        <v>#N/A</v>
      </c>
      <c r="AA121" s="375">
        <f t="shared" si="46"/>
      </c>
      <c r="AB121" s="377">
        <f t="shared" si="54"/>
        <v>1</v>
      </c>
      <c r="AC121" s="375" t="str">
        <f t="shared" si="55"/>
        <v> </v>
      </c>
      <c r="AD121" s="375" t="e">
        <f t="shared" si="56"/>
        <v>#N/A</v>
      </c>
      <c r="AE121" s="375" t="str">
        <f t="shared" si="57"/>
        <v> </v>
      </c>
      <c r="AF121" s="375" t="e">
        <f t="shared" si="37"/>
        <v>#N/A</v>
      </c>
      <c r="AG121" s="378" t="str">
        <f t="shared" si="58"/>
        <v> </v>
      </c>
      <c r="AH121" s="379" t="e">
        <f t="shared" si="59"/>
        <v>#VALUE!</v>
      </c>
      <c r="AI121" s="378" t="e">
        <f t="shared" si="60"/>
        <v>#VALUE!</v>
      </c>
      <c r="AJ121" s="375" t="e">
        <f t="shared" si="61"/>
        <v>#N/A</v>
      </c>
      <c r="AK121" s="375" t="e">
        <f>VLOOKUP(AJ121,'排出係数表'!$A$4:$C$202,2,FALSE)</f>
        <v>#N/A</v>
      </c>
      <c r="AL121" s="375" t="e">
        <f t="shared" si="41"/>
        <v>#N/A</v>
      </c>
      <c r="AM121" s="375" t="e">
        <f>VLOOKUP(AJ121,'排出係数表'!$A$4:$C$202,3,FALSE)</f>
        <v>#N/A</v>
      </c>
      <c r="AN121" s="375" t="e">
        <f t="shared" si="42"/>
        <v>#N/A</v>
      </c>
      <c r="AO121" s="375">
        <f t="shared" si="62"/>
      </c>
      <c r="AP121" s="379" t="str">
        <f t="shared" si="63"/>
        <v>-</v>
      </c>
      <c r="AQ121" s="375" t="e">
        <f t="shared" si="50"/>
        <v>#VALUE!</v>
      </c>
      <c r="AR121" s="375">
        <f t="shared" si="47"/>
      </c>
    </row>
    <row r="122" spans="1:44" s="380" customFormat="1" ht="13.5" customHeight="1">
      <c r="A122" s="375" t="str">
        <f>IF(ISBLANK(F122)=TRUE," ",IF(ISBLANK('様式2'!$C$23)=TRUE," ",'様式2'!$C$23))</f>
        <v> </v>
      </c>
      <c r="B122" s="375" t="e">
        <f>LOOKUP(LOOKUP(C122,'様式3'!$A$5:$A$44,'様式3'!$C$5:$C$44),'産業分類表'!$D$2:$D$68,'産業分類表'!$E$2:$E$68)</f>
        <v>#N/A</v>
      </c>
      <c r="C122" s="343"/>
      <c r="D122" s="343"/>
      <c r="E122" s="343"/>
      <c r="F122" s="343"/>
      <c r="G122" s="341"/>
      <c r="H122" s="349"/>
      <c r="I122" s="343"/>
      <c r="J122" s="343"/>
      <c r="K122" s="342"/>
      <c r="L122" s="350"/>
      <c r="M122" s="351"/>
      <c r="N122" s="343"/>
      <c r="O122" s="354">
        <f t="shared" si="52"/>
      </c>
      <c r="P122" s="354">
        <f t="shared" si="53"/>
      </c>
      <c r="Q122" s="389"/>
      <c r="R122" s="376">
        <f t="shared" si="48"/>
      </c>
      <c r="S122" s="376">
        <f t="shared" si="49"/>
      </c>
      <c r="T122" s="352"/>
      <c r="U122" s="353"/>
      <c r="V122" s="352"/>
      <c r="W122" s="343"/>
      <c r="X122" s="388">
        <f t="shared" si="45"/>
      </c>
      <c r="Y122" s="375" t="e">
        <f t="shared" si="31"/>
        <v>#N/A</v>
      </c>
      <c r="Z122" s="375" t="e">
        <f t="shared" si="32"/>
        <v>#N/A</v>
      </c>
      <c r="AA122" s="375">
        <f t="shared" si="46"/>
      </c>
      <c r="AB122" s="377">
        <f t="shared" si="54"/>
        <v>1</v>
      </c>
      <c r="AC122" s="375" t="str">
        <f t="shared" si="55"/>
        <v> </v>
      </c>
      <c r="AD122" s="375" t="e">
        <f t="shared" si="56"/>
        <v>#N/A</v>
      </c>
      <c r="AE122" s="375" t="str">
        <f t="shared" si="57"/>
        <v> </v>
      </c>
      <c r="AF122" s="375" t="e">
        <f t="shared" si="37"/>
        <v>#N/A</v>
      </c>
      <c r="AG122" s="378" t="str">
        <f t="shared" si="58"/>
        <v> </v>
      </c>
      <c r="AH122" s="379" t="e">
        <f t="shared" si="59"/>
        <v>#VALUE!</v>
      </c>
      <c r="AI122" s="378" t="e">
        <f t="shared" si="60"/>
        <v>#VALUE!</v>
      </c>
      <c r="AJ122" s="375" t="e">
        <f t="shared" si="61"/>
        <v>#N/A</v>
      </c>
      <c r="AK122" s="375" t="e">
        <f>VLOOKUP(AJ122,'排出係数表'!$A$4:$C$202,2,FALSE)</f>
        <v>#N/A</v>
      </c>
      <c r="AL122" s="375" t="e">
        <f t="shared" si="41"/>
        <v>#N/A</v>
      </c>
      <c r="AM122" s="375" t="e">
        <f>VLOOKUP(AJ122,'排出係数表'!$A$4:$C$202,3,FALSE)</f>
        <v>#N/A</v>
      </c>
      <c r="AN122" s="375" t="e">
        <f t="shared" si="42"/>
        <v>#N/A</v>
      </c>
      <c r="AO122" s="375">
        <f t="shared" si="62"/>
      </c>
      <c r="AP122" s="379" t="str">
        <f t="shared" si="63"/>
        <v>-</v>
      </c>
      <c r="AQ122" s="375" t="e">
        <f t="shared" si="50"/>
        <v>#VALUE!</v>
      </c>
      <c r="AR122" s="375">
        <f t="shared" si="47"/>
      </c>
    </row>
    <row r="123" spans="1:44" s="380" customFormat="1" ht="13.5" customHeight="1">
      <c r="A123" s="375" t="str">
        <f>IF(ISBLANK(F123)=TRUE," ",IF(ISBLANK('様式2'!$C$23)=TRUE," ",'様式2'!$C$23))</f>
        <v> </v>
      </c>
      <c r="B123" s="375" t="e">
        <f>LOOKUP(LOOKUP(C123,'様式3'!$A$5:$A$44,'様式3'!$C$5:$C$44),'産業分類表'!$D$2:$D$68,'産業分類表'!$E$2:$E$68)</f>
        <v>#N/A</v>
      </c>
      <c r="C123" s="343"/>
      <c r="D123" s="343"/>
      <c r="E123" s="343"/>
      <c r="F123" s="343"/>
      <c r="G123" s="341"/>
      <c r="H123" s="349"/>
      <c r="I123" s="343"/>
      <c r="J123" s="343"/>
      <c r="K123" s="342"/>
      <c r="L123" s="350"/>
      <c r="M123" s="351"/>
      <c r="N123" s="343"/>
      <c r="O123" s="354">
        <f t="shared" si="52"/>
      </c>
      <c r="P123" s="354">
        <f t="shared" si="53"/>
      </c>
      <c r="Q123" s="389"/>
      <c r="R123" s="376">
        <f t="shared" si="48"/>
      </c>
      <c r="S123" s="376">
        <f t="shared" si="49"/>
      </c>
      <c r="T123" s="352"/>
      <c r="U123" s="353"/>
      <c r="V123" s="352"/>
      <c r="W123" s="343"/>
      <c r="X123" s="388">
        <f t="shared" si="45"/>
      </c>
      <c r="Y123" s="375" t="e">
        <f t="shared" si="31"/>
        <v>#N/A</v>
      </c>
      <c r="Z123" s="375" t="e">
        <f t="shared" si="32"/>
        <v>#N/A</v>
      </c>
      <c r="AA123" s="375">
        <f t="shared" si="46"/>
      </c>
      <c r="AB123" s="377">
        <f t="shared" si="54"/>
        <v>1</v>
      </c>
      <c r="AC123" s="375" t="str">
        <f t="shared" si="55"/>
        <v> </v>
      </c>
      <c r="AD123" s="375" t="e">
        <f t="shared" si="56"/>
        <v>#N/A</v>
      </c>
      <c r="AE123" s="375" t="str">
        <f t="shared" si="57"/>
        <v> </v>
      </c>
      <c r="AF123" s="375" t="e">
        <f t="shared" si="37"/>
        <v>#N/A</v>
      </c>
      <c r="AG123" s="378" t="str">
        <f t="shared" si="58"/>
        <v> </v>
      </c>
      <c r="AH123" s="379" t="e">
        <f t="shared" si="59"/>
        <v>#VALUE!</v>
      </c>
      <c r="AI123" s="378" t="e">
        <f t="shared" si="60"/>
        <v>#VALUE!</v>
      </c>
      <c r="AJ123" s="375" t="e">
        <f t="shared" si="61"/>
        <v>#N/A</v>
      </c>
      <c r="AK123" s="375" t="e">
        <f>VLOOKUP(AJ123,'排出係数表'!$A$4:$C$202,2,FALSE)</f>
        <v>#N/A</v>
      </c>
      <c r="AL123" s="375" t="e">
        <f t="shared" si="41"/>
        <v>#N/A</v>
      </c>
      <c r="AM123" s="375" t="e">
        <f>VLOOKUP(AJ123,'排出係数表'!$A$4:$C$202,3,FALSE)</f>
        <v>#N/A</v>
      </c>
      <c r="AN123" s="375" t="e">
        <f t="shared" si="42"/>
        <v>#N/A</v>
      </c>
      <c r="AO123" s="375">
        <f t="shared" si="62"/>
      </c>
      <c r="AP123" s="379" t="str">
        <f t="shared" si="63"/>
        <v>-</v>
      </c>
      <c r="AQ123" s="375" t="e">
        <f t="shared" si="50"/>
        <v>#VALUE!</v>
      </c>
      <c r="AR123" s="375">
        <f t="shared" si="47"/>
      </c>
    </row>
    <row r="124" spans="1:44" s="380" customFormat="1" ht="13.5" customHeight="1">
      <c r="A124" s="375" t="str">
        <f>IF(ISBLANK(F124)=TRUE," ",IF(ISBLANK('様式2'!$C$23)=TRUE," ",'様式2'!$C$23))</f>
        <v> </v>
      </c>
      <c r="B124" s="375" t="e">
        <f>LOOKUP(LOOKUP(C124,'様式3'!$A$5:$A$44,'様式3'!$C$5:$C$44),'産業分類表'!$D$2:$D$68,'産業分類表'!$E$2:$E$68)</f>
        <v>#N/A</v>
      </c>
      <c r="C124" s="343"/>
      <c r="D124" s="343"/>
      <c r="E124" s="343"/>
      <c r="F124" s="343"/>
      <c r="G124" s="341"/>
      <c r="H124" s="349"/>
      <c r="I124" s="343"/>
      <c r="J124" s="343"/>
      <c r="K124" s="342"/>
      <c r="L124" s="350"/>
      <c r="M124" s="351"/>
      <c r="N124" s="343"/>
      <c r="O124" s="354">
        <f t="shared" si="52"/>
      </c>
      <c r="P124" s="354">
        <f t="shared" si="53"/>
      </c>
      <c r="Q124" s="389"/>
      <c r="R124" s="376">
        <f t="shared" si="48"/>
      </c>
      <c r="S124" s="376">
        <f t="shared" si="49"/>
      </c>
      <c r="T124" s="352"/>
      <c r="U124" s="353"/>
      <c r="V124" s="352"/>
      <c r="W124" s="343"/>
      <c r="X124" s="388">
        <f t="shared" si="45"/>
      </c>
      <c r="Y124" s="375" t="e">
        <f t="shared" si="31"/>
        <v>#N/A</v>
      </c>
      <c r="Z124" s="375" t="e">
        <f t="shared" si="32"/>
        <v>#N/A</v>
      </c>
      <c r="AA124" s="375">
        <f t="shared" si="46"/>
      </c>
      <c r="AB124" s="377">
        <f t="shared" si="54"/>
        <v>1</v>
      </c>
      <c r="AC124" s="375" t="str">
        <f t="shared" si="55"/>
        <v> </v>
      </c>
      <c r="AD124" s="375" t="e">
        <f t="shared" si="56"/>
        <v>#N/A</v>
      </c>
      <c r="AE124" s="375" t="str">
        <f t="shared" si="57"/>
        <v> </v>
      </c>
      <c r="AF124" s="375" t="e">
        <f t="shared" si="37"/>
        <v>#N/A</v>
      </c>
      <c r="AG124" s="378" t="str">
        <f t="shared" si="58"/>
        <v> </v>
      </c>
      <c r="AH124" s="379" t="e">
        <f t="shared" si="59"/>
        <v>#VALUE!</v>
      </c>
      <c r="AI124" s="378" t="e">
        <f t="shared" si="60"/>
        <v>#VALUE!</v>
      </c>
      <c r="AJ124" s="375" t="e">
        <f t="shared" si="61"/>
        <v>#N/A</v>
      </c>
      <c r="AK124" s="375" t="e">
        <f>VLOOKUP(AJ124,'排出係数表'!$A$4:$C$202,2,FALSE)</f>
        <v>#N/A</v>
      </c>
      <c r="AL124" s="375" t="e">
        <f t="shared" si="41"/>
        <v>#N/A</v>
      </c>
      <c r="AM124" s="375" t="e">
        <f>VLOOKUP(AJ124,'排出係数表'!$A$4:$C$202,3,FALSE)</f>
        <v>#N/A</v>
      </c>
      <c r="AN124" s="375" t="e">
        <f t="shared" si="42"/>
        <v>#N/A</v>
      </c>
      <c r="AO124" s="375">
        <f t="shared" si="62"/>
      </c>
      <c r="AP124" s="379" t="str">
        <f t="shared" si="63"/>
        <v>-</v>
      </c>
      <c r="AQ124" s="375" t="e">
        <f t="shared" si="50"/>
        <v>#VALUE!</v>
      </c>
      <c r="AR124" s="375">
        <f t="shared" si="47"/>
      </c>
    </row>
    <row r="125" spans="1:44" s="380" customFormat="1" ht="13.5" customHeight="1">
      <c r="A125" s="375" t="str">
        <f>IF(ISBLANK(F125)=TRUE," ",IF(ISBLANK('様式2'!$C$23)=TRUE," ",'様式2'!$C$23))</f>
        <v> </v>
      </c>
      <c r="B125" s="375" t="e">
        <f>LOOKUP(LOOKUP(C125,'様式3'!$A$5:$A$44,'様式3'!$C$5:$C$44),'産業分類表'!$D$2:$D$68,'産業分類表'!$E$2:$E$68)</f>
        <v>#N/A</v>
      </c>
      <c r="C125" s="343"/>
      <c r="D125" s="343"/>
      <c r="E125" s="343"/>
      <c r="F125" s="343"/>
      <c r="G125" s="341"/>
      <c r="H125" s="349"/>
      <c r="I125" s="343"/>
      <c r="J125" s="343"/>
      <c r="K125" s="342"/>
      <c r="L125" s="350"/>
      <c r="M125" s="351"/>
      <c r="N125" s="343"/>
      <c r="O125" s="354">
        <f t="shared" si="52"/>
      </c>
      <c r="P125" s="354">
        <f t="shared" si="53"/>
      </c>
      <c r="Q125" s="389"/>
      <c r="R125" s="376">
        <f t="shared" si="48"/>
      </c>
      <c r="S125" s="376">
        <f t="shared" si="49"/>
      </c>
      <c r="T125" s="352"/>
      <c r="U125" s="353"/>
      <c r="V125" s="352"/>
      <c r="W125" s="343"/>
      <c r="X125" s="388">
        <f t="shared" si="45"/>
      </c>
      <c r="Y125" s="375" t="e">
        <f t="shared" si="31"/>
        <v>#N/A</v>
      </c>
      <c r="Z125" s="375" t="e">
        <f t="shared" si="32"/>
        <v>#N/A</v>
      </c>
      <c r="AA125" s="375">
        <f t="shared" si="46"/>
      </c>
      <c r="AB125" s="377">
        <f t="shared" si="54"/>
        <v>1</v>
      </c>
      <c r="AC125" s="375" t="str">
        <f t="shared" si="55"/>
        <v> </v>
      </c>
      <c r="AD125" s="375" t="e">
        <f t="shared" si="56"/>
        <v>#N/A</v>
      </c>
      <c r="AE125" s="375" t="str">
        <f t="shared" si="57"/>
        <v> </v>
      </c>
      <c r="AF125" s="375" t="e">
        <f t="shared" si="37"/>
        <v>#N/A</v>
      </c>
      <c r="AG125" s="378" t="str">
        <f t="shared" si="58"/>
        <v> </v>
      </c>
      <c r="AH125" s="379" t="e">
        <f t="shared" si="59"/>
        <v>#VALUE!</v>
      </c>
      <c r="AI125" s="378" t="e">
        <f t="shared" si="60"/>
        <v>#VALUE!</v>
      </c>
      <c r="AJ125" s="375" t="e">
        <f t="shared" si="61"/>
        <v>#N/A</v>
      </c>
      <c r="AK125" s="375" t="e">
        <f>VLOOKUP(AJ125,'排出係数表'!$A$4:$C$202,2,FALSE)</f>
        <v>#N/A</v>
      </c>
      <c r="AL125" s="375" t="e">
        <f t="shared" si="41"/>
        <v>#N/A</v>
      </c>
      <c r="AM125" s="375" t="e">
        <f>VLOOKUP(AJ125,'排出係数表'!$A$4:$C$202,3,FALSE)</f>
        <v>#N/A</v>
      </c>
      <c r="AN125" s="375" t="e">
        <f t="shared" si="42"/>
        <v>#N/A</v>
      </c>
      <c r="AO125" s="375">
        <f t="shared" si="62"/>
      </c>
      <c r="AP125" s="379" t="str">
        <f t="shared" si="63"/>
        <v>-</v>
      </c>
      <c r="AQ125" s="375" t="e">
        <f t="shared" si="50"/>
        <v>#VALUE!</v>
      </c>
      <c r="AR125" s="375">
        <f t="shared" si="47"/>
      </c>
    </row>
    <row r="126" spans="1:44" s="380" customFormat="1" ht="13.5" customHeight="1">
      <c r="A126" s="375" t="str">
        <f>IF(ISBLANK(F126)=TRUE," ",IF(ISBLANK('様式2'!$C$23)=TRUE," ",'様式2'!$C$23))</f>
        <v> </v>
      </c>
      <c r="B126" s="375" t="e">
        <f>LOOKUP(LOOKUP(C126,'様式3'!$A$5:$A$44,'様式3'!$C$5:$C$44),'産業分類表'!$D$2:$D$68,'産業分類表'!$E$2:$E$68)</f>
        <v>#N/A</v>
      </c>
      <c r="C126" s="343"/>
      <c r="D126" s="343"/>
      <c r="E126" s="343"/>
      <c r="F126" s="343"/>
      <c r="G126" s="341"/>
      <c r="H126" s="349"/>
      <c r="I126" s="343"/>
      <c r="J126" s="343"/>
      <c r="K126" s="342"/>
      <c r="L126" s="350"/>
      <c r="M126" s="351"/>
      <c r="N126" s="343"/>
      <c r="O126" s="354">
        <f t="shared" si="52"/>
      </c>
      <c r="P126" s="354">
        <f t="shared" si="53"/>
      </c>
      <c r="Q126" s="389"/>
      <c r="R126" s="376">
        <f t="shared" si="48"/>
      </c>
      <c r="S126" s="376">
        <f t="shared" si="49"/>
      </c>
      <c r="T126" s="352"/>
      <c r="U126" s="353"/>
      <c r="V126" s="352"/>
      <c r="W126" s="343"/>
      <c r="X126" s="388">
        <f t="shared" si="45"/>
      </c>
      <c r="Y126" s="375" t="e">
        <f t="shared" si="31"/>
        <v>#N/A</v>
      </c>
      <c r="Z126" s="375" t="e">
        <f t="shared" si="32"/>
        <v>#N/A</v>
      </c>
      <c r="AA126" s="375">
        <f t="shared" si="46"/>
      </c>
      <c r="AB126" s="377">
        <f t="shared" si="54"/>
        <v>1</v>
      </c>
      <c r="AC126" s="375" t="str">
        <f t="shared" si="55"/>
        <v> </v>
      </c>
      <c r="AD126" s="375" t="e">
        <f t="shared" si="56"/>
        <v>#N/A</v>
      </c>
      <c r="AE126" s="375" t="str">
        <f t="shared" si="57"/>
        <v> </v>
      </c>
      <c r="AF126" s="375" t="e">
        <f t="shared" si="37"/>
        <v>#N/A</v>
      </c>
      <c r="AG126" s="378" t="str">
        <f t="shared" si="58"/>
        <v> </v>
      </c>
      <c r="AH126" s="379" t="e">
        <f t="shared" si="59"/>
        <v>#VALUE!</v>
      </c>
      <c r="AI126" s="378" t="e">
        <f t="shared" si="60"/>
        <v>#VALUE!</v>
      </c>
      <c r="AJ126" s="375" t="e">
        <f t="shared" si="61"/>
        <v>#N/A</v>
      </c>
      <c r="AK126" s="375" t="e">
        <f>VLOOKUP(AJ126,'排出係数表'!$A$4:$C$202,2,FALSE)</f>
        <v>#N/A</v>
      </c>
      <c r="AL126" s="375" t="e">
        <f t="shared" si="41"/>
        <v>#N/A</v>
      </c>
      <c r="AM126" s="375" t="e">
        <f>VLOOKUP(AJ126,'排出係数表'!$A$4:$C$202,3,FALSE)</f>
        <v>#N/A</v>
      </c>
      <c r="AN126" s="375" t="e">
        <f t="shared" si="42"/>
        <v>#N/A</v>
      </c>
      <c r="AO126" s="375">
        <f t="shared" si="62"/>
      </c>
      <c r="AP126" s="379" t="str">
        <f t="shared" si="63"/>
        <v>-</v>
      </c>
      <c r="AQ126" s="375" t="e">
        <f t="shared" si="50"/>
        <v>#VALUE!</v>
      </c>
      <c r="AR126" s="375">
        <f t="shared" si="47"/>
      </c>
    </row>
    <row r="127" spans="1:44" s="380" customFormat="1" ht="13.5" customHeight="1">
      <c r="A127" s="375" t="str">
        <f>IF(ISBLANK(F127)=TRUE," ",IF(ISBLANK('様式2'!$C$23)=TRUE," ",'様式2'!$C$23))</f>
        <v> </v>
      </c>
      <c r="B127" s="375" t="e">
        <f>LOOKUP(LOOKUP(C127,'様式3'!$A$5:$A$44,'様式3'!$C$5:$C$44),'産業分類表'!$D$2:$D$68,'産業分類表'!$E$2:$E$68)</f>
        <v>#N/A</v>
      </c>
      <c r="C127" s="343"/>
      <c r="D127" s="343"/>
      <c r="E127" s="343"/>
      <c r="F127" s="343"/>
      <c r="G127" s="341"/>
      <c r="H127" s="349"/>
      <c r="I127" s="343"/>
      <c r="J127" s="343"/>
      <c r="K127" s="342"/>
      <c r="L127" s="350"/>
      <c r="M127" s="351"/>
      <c r="N127" s="343"/>
      <c r="O127" s="354">
        <f t="shared" si="52"/>
      </c>
      <c r="P127" s="354">
        <f t="shared" si="53"/>
      </c>
      <c r="Q127" s="389"/>
      <c r="R127" s="376">
        <f t="shared" si="48"/>
      </c>
      <c r="S127" s="376">
        <f t="shared" si="49"/>
      </c>
      <c r="T127" s="352"/>
      <c r="U127" s="353"/>
      <c r="V127" s="352"/>
      <c r="W127" s="343"/>
      <c r="X127" s="388">
        <f t="shared" si="45"/>
      </c>
      <c r="Y127" s="375" t="e">
        <f t="shared" si="31"/>
        <v>#N/A</v>
      </c>
      <c r="Z127" s="375" t="e">
        <f t="shared" si="32"/>
        <v>#N/A</v>
      </c>
      <c r="AA127" s="375">
        <f t="shared" si="46"/>
      </c>
      <c r="AB127" s="377">
        <f t="shared" si="54"/>
        <v>1</v>
      </c>
      <c r="AC127" s="375" t="str">
        <f t="shared" si="55"/>
        <v> </v>
      </c>
      <c r="AD127" s="375" t="e">
        <f t="shared" si="56"/>
        <v>#N/A</v>
      </c>
      <c r="AE127" s="375" t="str">
        <f t="shared" si="57"/>
        <v> </v>
      </c>
      <c r="AF127" s="375" t="e">
        <f t="shared" si="37"/>
        <v>#N/A</v>
      </c>
      <c r="AG127" s="378" t="str">
        <f t="shared" si="58"/>
        <v> </v>
      </c>
      <c r="AH127" s="379" t="e">
        <f t="shared" si="59"/>
        <v>#VALUE!</v>
      </c>
      <c r="AI127" s="378" t="e">
        <f t="shared" si="60"/>
        <v>#VALUE!</v>
      </c>
      <c r="AJ127" s="375" t="e">
        <f t="shared" si="61"/>
        <v>#N/A</v>
      </c>
      <c r="AK127" s="375" t="e">
        <f>VLOOKUP(AJ127,'排出係数表'!$A$4:$C$202,2,FALSE)</f>
        <v>#N/A</v>
      </c>
      <c r="AL127" s="375" t="e">
        <f t="shared" si="41"/>
        <v>#N/A</v>
      </c>
      <c r="AM127" s="375" t="e">
        <f>VLOOKUP(AJ127,'排出係数表'!$A$4:$C$202,3,FALSE)</f>
        <v>#N/A</v>
      </c>
      <c r="AN127" s="375" t="e">
        <f t="shared" si="42"/>
        <v>#N/A</v>
      </c>
      <c r="AO127" s="375">
        <f t="shared" si="62"/>
      </c>
      <c r="AP127" s="379" t="str">
        <f t="shared" si="63"/>
        <v>-</v>
      </c>
      <c r="AQ127" s="375" t="e">
        <f t="shared" si="50"/>
        <v>#VALUE!</v>
      </c>
      <c r="AR127" s="375">
        <f t="shared" si="47"/>
      </c>
    </row>
    <row r="128" spans="1:44" s="380" customFormat="1" ht="13.5" customHeight="1">
      <c r="A128" s="375" t="str">
        <f>IF(ISBLANK(F128)=TRUE," ",IF(ISBLANK('様式2'!$C$23)=TRUE," ",'様式2'!$C$23))</f>
        <v> </v>
      </c>
      <c r="B128" s="375" t="e">
        <f>LOOKUP(LOOKUP(C128,'様式3'!$A$5:$A$44,'様式3'!$C$5:$C$44),'産業分類表'!$D$2:$D$68,'産業分類表'!$E$2:$E$68)</f>
        <v>#N/A</v>
      </c>
      <c r="C128" s="343"/>
      <c r="D128" s="343"/>
      <c r="E128" s="343"/>
      <c r="F128" s="343"/>
      <c r="G128" s="341"/>
      <c r="H128" s="349"/>
      <c r="I128" s="343"/>
      <c r="J128" s="343"/>
      <c r="K128" s="342"/>
      <c r="L128" s="350"/>
      <c r="M128" s="351"/>
      <c r="N128" s="343"/>
      <c r="O128" s="354">
        <f t="shared" si="52"/>
      </c>
      <c r="P128" s="354">
        <f t="shared" si="53"/>
      </c>
      <c r="Q128" s="389"/>
      <c r="R128" s="376">
        <f t="shared" si="48"/>
      </c>
      <c r="S128" s="376">
        <f t="shared" si="49"/>
      </c>
      <c r="T128" s="352"/>
      <c r="U128" s="353"/>
      <c r="V128" s="352"/>
      <c r="W128" s="343"/>
      <c r="X128" s="388">
        <f t="shared" si="45"/>
      </c>
      <c r="Y128" s="375" t="e">
        <f t="shared" si="31"/>
        <v>#N/A</v>
      </c>
      <c r="Z128" s="375" t="e">
        <f t="shared" si="32"/>
        <v>#N/A</v>
      </c>
      <c r="AA128" s="375">
        <f t="shared" si="46"/>
      </c>
      <c r="AB128" s="377">
        <f t="shared" si="54"/>
        <v>1</v>
      </c>
      <c r="AC128" s="375" t="str">
        <f t="shared" si="55"/>
        <v> </v>
      </c>
      <c r="AD128" s="375" t="e">
        <f t="shared" si="56"/>
        <v>#N/A</v>
      </c>
      <c r="AE128" s="375" t="str">
        <f t="shared" si="57"/>
        <v> </v>
      </c>
      <c r="AF128" s="375" t="e">
        <f t="shared" si="37"/>
        <v>#N/A</v>
      </c>
      <c r="AG128" s="378" t="str">
        <f t="shared" si="58"/>
        <v> </v>
      </c>
      <c r="AH128" s="379" t="e">
        <f t="shared" si="59"/>
        <v>#VALUE!</v>
      </c>
      <c r="AI128" s="378" t="e">
        <f t="shared" si="60"/>
        <v>#VALUE!</v>
      </c>
      <c r="AJ128" s="375" t="e">
        <f t="shared" si="61"/>
        <v>#N/A</v>
      </c>
      <c r="AK128" s="375" t="e">
        <f>VLOOKUP(AJ128,'排出係数表'!$A$4:$C$202,2,FALSE)</f>
        <v>#N/A</v>
      </c>
      <c r="AL128" s="375" t="e">
        <f t="shared" si="41"/>
        <v>#N/A</v>
      </c>
      <c r="AM128" s="375" t="e">
        <f>VLOOKUP(AJ128,'排出係数表'!$A$4:$C$202,3,FALSE)</f>
        <v>#N/A</v>
      </c>
      <c r="AN128" s="375" t="e">
        <f t="shared" si="42"/>
        <v>#N/A</v>
      </c>
      <c r="AO128" s="375">
        <f t="shared" si="62"/>
      </c>
      <c r="AP128" s="379" t="str">
        <f t="shared" si="63"/>
        <v>-</v>
      </c>
      <c r="AQ128" s="375" t="e">
        <f t="shared" si="50"/>
        <v>#VALUE!</v>
      </c>
      <c r="AR128" s="375">
        <f t="shared" si="47"/>
      </c>
    </row>
    <row r="129" spans="1:44" s="380" customFormat="1" ht="13.5" customHeight="1">
      <c r="A129" s="375" t="str">
        <f>IF(ISBLANK(F129)=TRUE," ",IF(ISBLANK('様式2'!$C$23)=TRUE," ",'様式2'!$C$23))</f>
        <v> </v>
      </c>
      <c r="B129" s="375" t="e">
        <f>LOOKUP(LOOKUP(C129,'様式3'!$A$5:$A$44,'様式3'!$C$5:$C$44),'産業分類表'!$D$2:$D$68,'産業分類表'!$E$2:$E$68)</f>
        <v>#N/A</v>
      </c>
      <c r="C129" s="343"/>
      <c r="D129" s="343"/>
      <c r="E129" s="343"/>
      <c r="F129" s="343"/>
      <c r="G129" s="341"/>
      <c r="H129" s="349"/>
      <c r="I129" s="343"/>
      <c r="J129" s="343"/>
      <c r="K129" s="342"/>
      <c r="L129" s="350"/>
      <c r="M129" s="351"/>
      <c r="N129" s="343"/>
      <c r="O129" s="354">
        <f t="shared" si="52"/>
      </c>
      <c r="P129" s="354">
        <f t="shared" si="53"/>
      </c>
      <c r="Q129" s="389"/>
      <c r="R129" s="376">
        <f t="shared" si="48"/>
      </c>
      <c r="S129" s="376">
        <f t="shared" si="49"/>
      </c>
      <c r="T129" s="352"/>
      <c r="U129" s="353"/>
      <c r="V129" s="352"/>
      <c r="W129" s="343"/>
      <c r="X129" s="388">
        <f t="shared" si="45"/>
      </c>
      <c r="Y129" s="375" t="e">
        <f t="shared" si="31"/>
        <v>#N/A</v>
      </c>
      <c r="Z129" s="375" t="e">
        <f t="shared" si="32"/>
        <v>#N/A</v>
      </c>
      <c r="AA129" s="375">
        <f t="shared" si="46"/>
      </c>
      <c r="AB129" s="377">
        <f t="shared" si="54"/>
        <v>1</v>
      </c>
      <c r="AC129" s="375" t="str">
        <f t="shared" si="55"/>
        <v> </v>
      </c>
      <c r="AD129" s="375" t="e">
        <f t="shared" si="56"/>
        <v>#N/A</v>
      </c>
      <c r="AE129" s="375" t="str">
        <f t="shared" si="57"/>
        <v> </v>
      </c>
      <c r="AF129" s="375" t="e">
        <f t="shared" si="37"/>
        <v>#N/A</v>
      </c>
      <c r="AG129" s="378" t="str">
        <f t="shared" si="58"/>
        <v> </v>
      </c>
      <c r="AH129" s="379" t="e">
        <f t="shared" si="59"/>
        <v>#VALUE!</v>
      </c>
      <c r="AI129" s="378" t="e">
        <f t="shared" si="60"/>
        <v>#VALUE!</v>
      </c>
      <c r="AJ129" s="375" t="e">
        <f t="shared" si="61"/>
        <v>#N/A</v>
      </c>
      <c r="AK129" s="375" t="e">
        <f>VLOOKUP(AJ129,'排出係数表'!$A$4:$C$202,2,FALSE)</f>
        <v>#N/A</v>
      </c>
      <c r="AL129" s="375" t="e">
        <f t="shared" si="41"/>
        <v>#N/A</v>
      </c>
      <c r="AM129" s="375" t="e">
        <f>VLOOKUP(AJ129,'排出係数表'!$A$4:$C$202,3,FALSE)</f>
        <v>#N/A</v>
      </c>
      <c r="AN129" s="375" t="e">
        <f t="shared" si="42"/>
        <v>#N/A</v>
      </c>
      <c r="AO129" s="375">
        <f t="shared" si="62"/>
      </c>
      <c r="AP129" s="379" t="str">
        <f t="shared" si="63"/>
        <v>-</v>
      </c>
      <c r="AQ129" s="375" t="e">
        <f t="shared" si="50"/>
        <v>#VALUE!</v>
      </c>
      <c r="AR129" s="375">
        <f t="shared" si="47"/>
      </c>
    </row>
    <row r="130" spans="1:44" s="380" customFormat="1" ht="13.5" customHeight="1">
      <c r="A130" s="375" t="str">
        <f>IF(ISBLANK(F130)=TRUE," ",IF(ISBLANK('様式2'!$C$23)=TRUE," ",'様式2'!$C$23))</f>
        <v> </v>
      </c>
      <c r="B130" s="375" t="e">
        <f>LOOKUP(LOOKUP(C130,'様式3'!$A$5:$A$44,'様式3'!$C$5:$C$44),'産業分類表'!$D$2:$D$68,'産業分類表'!$E$2:$E$68)</f>
        <v>#N/A</v>
      </c>
      <c r="C130" s="343"/>
      <c r="D130" s="343"/>
      <c r="E130" s="343"/>
      <c r="F130" s="343"/>
      <c r="G130" s="341"/>
      <c r="H130" s="349"/>
      <c r="I130" s="343"/>
      <c r="J130" s="343"/>
      <c r="K130" s="342"/>
      <c r="L130" s="350"/>
      <c r="M130" s="351"/>
      <c r="N130" s="343"/>
      <c r="O130" s="354">
        <f t="shared" si="52"/>
      </c>
      <c r="P130" s="354">
        <f t="shared" si="53"/>
      </c>
      <c r="Q130" s="389"/>
      <c r="R130" s="376">
        <f t="shared" si="48"/>
      </c>
      <c r="S130" s="376">
        <f t="shared" si="49"/>
      </c>
      <c r="T130" s="352"/>
      <c r="U130" s="353"/>
      <c r="V130" s="352"/>
      <c r="W130" s="343"/>
      <c r="X130" s="388">
        <f t="shared" si="45"/>
      </c>
      <c r="Y130" s="375" t="e">
        <f t="shared" si="31"/>
        <v>#N/A</v>
      </c>
      <c r="Z130" s="375" t="e">
        <f t="shared" si="32"/>
        <v>#N/A</v>
      </c>
      <c r="AA130" s="375">
        <f t="shared" si="46"/>
      </c>
      <c r="AB130" s="377">
        <f t="shared" si="54"/>
        <v>1</v>
      </c>
      <c r="AC130" s="375" t="str">
        <f t="shared" si="55"/>
        <v> </v>
      </c>
      <c r="AD130" s="375" t="e">
        <f t="shared" si="56"/>
        <v>#N/A</v>
      </c>
      <c r="AE130" s="375" t="str">
        <f t="shared" si="57"/>
        <v> </v>
      </c>
      <c r="AF130" s="375" t="e">
        <f t="shared" si="37"/>
        <v>#N/A</v>
      </c>
      <c r="AG130" s="378" t="str">
        <f t="shared" si="58"/>
        <v> </v>
      </c>
      <c r="AH130" s="379" t="e">
        <f t="shared" si="59"/>
        <v>#VALUE!</v>
      </c>
      <c r="AI130" s="378" t="e">
        <f t="shared" si="60"/>
        <v>#VALUE!</v>
      </c>
      <c r="AJ130" s="375" t="e">
        <f t="shared" si="61"/>
        <v>#N/A</v>
      </c>
      <c r="AK130" s="375" t="e">
        <f>VLOOKUP(AJ130,'排出係数表'!$A$4:$C$202,2,FALSE)</f>
        <v>#N/A</v>
      </c>
      <c r="AL130" s="375" t="e">
        <f t="shared" si="41"/>
        <v>#N/A</v>
      </c>
      <c r="AM130" s="375" t="e">
        <f>VLOOKUP(AJ130,'排出係数表'!$A$4:$C$202,3,FALSE)</f>
        <v>#N/A</v>
      </c>
      <c r="AN130" s="375" t="e">
        <f t="shared" si="42"/>
        <v>#N/A</v>
      </c>
      <c r="AO130" s="375">
        <f t="shared" si="62"/>
      </c>
      <c r="AP130" s="379" t="str">
        <f t="shared" si="63"/>
        <v>-</v>
      </c>
      <c r="AQ130" s="375" t="e">
        <f t="shared" si="50"/>
        <v>#VALUE!</v>
      </c>
      <c r="AR130" s="375">
        <f t="shared" si="47"/>
      </c>
    </row>
    <row r="131" spans="1:44" s="380" customFormat="1" ht="13.5" customHeight="1">
      <c r="A131" s="375" t="str">
        <f>IF(ISBLANK(F131)=TRUE," ",IF(ISBLANK('様式2'!$C$23)=TRUE," ",'様式2'!$C$23))</f>
        <v> </v>
      </c>
      <c r="B131" s="375" t="e">
        <f>LOOKUP(LOOKUP(C131,'様式3'!$A$5:$A$44,'様式3'!$C$5:$C$44),'産業分類表'!$D$2:$D$68,'産業分類表'!$E$2:$E$68)</f>
        <v>#N/A</v>
      </c>
      <c r="C131" s="343"/>
      <c r="D131" s="343"/>
      <c r="E131" s="343"/>
      <c r="F131" s="343"/>
      <c r="G131" s="341"/>
      <c r="H131" s="349"/>
      <c r="I131" s="343"/>
      <c r="J131" s="343"/>
      <c r="K131" s="342"/>
      <c r="L131" s="350"/>
      <c r="M131" s="351"/>
      <c r="N131" s="343"/>
      <c r="O131" s="354">
        <f t="shared" si="52"/>
      </c>
      <c r="P131" s="354">
        <f t="shared" si="53"/>
      </c>
      <c r="Q131" s="389"/>
      <c r="R131" s="376">
        <f t="shared" si="48"/>
      </c>
      <c r="S131" s="376">
        <f t="shared" si="49"/>
      </c>
      <c r="T131" s="352"/>
      <c r="U131" s="353"/>
      <c r="V131" s="352"/>
      <c r="W131" s="343"/>
      <c r="X131" s="388">
        <f t="shared" si="45"/>
      </c>
      <c r="Y131" s="375" t="e">
        <f t="shared" si="31"/>
        <v>#N/A</v>
      </c>
      <c r="Z131" s="375" t="e">
        <f t="shared" si="32"/>
        <v>#N/A</v>
      </c>
      <c r="AA131" s="375">
        <f t="shared" si="46"/>
      </c>
      <c r="AB131" s="377">
        <f t="shared" si="54"/>
        <v>1</v>
      </c>
      <c r="AC131" s="375" t="str">
        <f t="shared" si="55"/>
        <v> </v>
      </c>
      <c r="AD131" s="375" t="e">
        <f t="shared" si="56"/>
        <v>#N/A</v>
      </c>
      <c r="AE131" s="375" t="str">
        <f t="shared" si="57"/>
        <v> </v>
      </c>
      <c r="AF131" s="375" t="e">
        <f t="shared" si="37"/>
        <v>#N/A</v>
      </c>
      <c r="AG131" s="378" t="str">
        <f t="shared" si="58"/>
        <v> </v>
      </c>
      <c r="AH131" s="379" t="e">
        <f t="shared" si="59"/>
        <v>#VALUE!</v>
      </c>
      <c r="AI131" s="378" t="e">
        <f t="shared" si="60"/>
        <v>#VALUE!</v>
      </c>
      <c r="AJ131" s="375" t="e">
        <f t="shared" si="61"/>
        <v>#N/A</v>
      </c>
      <c r="AK131" s="375" t="e">
        <f>VLOOKUP(AJ131,'排出係数表'!$A$4:$C$202,2,FALSE)</f>
        <v>#N/A</v>
      </c>
      <c r="AL131" s="375" t="e">
        <f t="shared" si="41"/>
        <v>#N/A</v>
      </c>
      <c r="AM131" s="375" t="e">
        <f>VLOOKUP(AJ131,'排出係数表'!$A$4:$C$202,3,FALSE)</f>
        <v>#N/A</v>
      </c>
      <c r="AN131" s="375" t="e">
        <f t="shared" si="42"/>
        <v>#N/A</v>
      </c>
      <c r="AO131" s="375">
        <f t="shared" si="62"/>
      </c>
      <c r="AP131" s="379" t="str">
        <f t="shared" si="63"/>
        <v>-</v>
      </c>
      <c r="AQ131" s="375" t="e">
        <f t="shared" si="50"/>
        <v>#VALUE!</v>
      </c>
      <c r="AR131" s="375">
        <f t="shared" si="47"/>
      </c>
    </row>
    <row r="132" spans="1:44" s="380" customFormat="1" ht="13.5" customHeight="1">
      <c r="A132" s="375" t="str">
        <f>IF(ISBLANK(F132)=TRUE," ",IF(ISBLANK('様式2'!$C$23)=TRUE," ",'様式2'!$C$23))</f>
        <v> </v>
      </c>
      <c r="B132" s="375" t="e">
        <f>LOOKUP(LOOKUP(C132,'様式3'!$A$5:$A$44,'様式3'!$C$5:$C$44),'産業分類表'!$D$2:$D$68,'産業分類表'!$E$2:$E$68)</f>
        <v>#N/A</v>
      </c>
      <c r="C132" s="343"/>
      <c r="D132" s="343"/>
      <c r="E132" s="343"/>
      <c r="F132" s="343"/>
      <c r="G132" s="341"/>
      <c r="H132" s="349"/>
      <c r="I132" s="343"/>
      <c r="J132" s="343"/>
      <c r="K132" s="342"/>
      <c r="L132" s="350"/>
      <c r="M132" s="351"/>
      <c r="N132" s="343"/>
      <c r="O132" s="354">
        <f t="shared" si="52"/>
      </c>
      <c r="P132" s="354">
        <f t="shared" si="53"/>
      </c>
      <c r="Q132" s="389"/>
      <c r="R132" s="376">
        <f t="shared" si="48"/>
      </c>
      <c r="S132" s="376">
        <f t="shared" si="49"/>
      </c>
      <c r="T132" s="352"/>
      <c r="U132" s="353"/>
      <c r="V132" s="352"/>
      <c r="W132" s="343"/>
      <c r="X132" s="388">
        <f t="shared" si="45"/>
      </c>
      <c r="Y132" s="375" t="e">
        <f aca="true" t="shared" si="64" ref="Y132:Y195">LOOKUP(F132,種類,$L$306:$L$313)</f>
        <v>#N/A</v>
      </c>
      <c r="Z132" s="375" t="e">
        <f aca="true" t="shared" si="65" ref="Z132:Z195">LOOKUP(F132,種類,$M$306:$M$313)</f>
        <v>#N/A</v>
      </c>
      <c r="AA132" s="375">
        <f t="shared" si="46"/>
      </c>
      <c r="AB132" s="377">
        <f t="shared" si="54"/>
        <v>1</v>
      </c>
      <c r="AC132" s="375" t="str">
        <f t="shared" si="55"/>
        <v> </v>
      </c>
      <c r="AD132" s="375" t="e">
        <f t="shared" si="56"/>
        <v>#N/A</v>
      </c>
      <c r="AE132" s="375" t="str">
        <f t="shared" si="57"/>
        <v> </v>
      </c>
      <c r="AF132" s="375" t="e">
        <f aca="true" t="shared" si="66" ref="AF132:AF195">LOOKUP(J132,燃料,$L$320:$L$335)</f>
        <v>#N/A</v>
      </c>
      <c r="AG132" s="378" t="str">
        <f t="shared" si="58"/>
        <v> </v>
      </c>
      <c r="AH132" s="379" t="e">
        <f t="shared" si="59"/>
        <v>#VALUE!</v>
      </c>
      <c r="AI132" s="378" t="e">
        <f t="shared" si="60"/>
        <v>#VALUE!</v>
      </c>
      <c r="AJ132" s="375" t="e">
        <f t="shared" si="61"/>
        <v>#N/A</v>
      </c>
      <c r="AK132" s="375" t="e">
        <f>VLOOKUP(AJ132,'排出係数表'!$A$4:$C$202,2,FALSE)</f>
        <v>#N/A</v>
      </c>
      <c r="AL132" s="375" t="e">
        <f aca="true" t="shared" si="67" ref="AL132:AL195">IF(OR(AND(LEFT(AA132,1)="U",AA132&lt;&gt;"U"),AND(LEFT(AA132,1)="L",AA132&lt;&gt;"L"),AND(LEFT(AA132,1)="T",AA132&lt;&gt;"T")),1,LOOKUP(J132,燃料,$M$320:$M$335))</f>
        <v>#N/A</v>
      </c>
      <c r="AM132" s="375" t="e">
        <f>VLOOKUP(AJ132,'排出係数表'!$A$4:$C$202,3,FALSE)</f>
        <v>#N/A</v>
      </c>
      <c r="AN132" s="375" t="e">
        <f aca="true" t="shared" si="68" ref="AN132:AN195">LOOKUP(J132,燃料,$N$320:$N$335)</f>
        <v>#N/A</v>
      </c>
      <c r="AO132" s="375">
        <f t="shared" si="62"/>
      </c>
      <c r="AP132" s="379" t="str">
        <f t="shared" si="63"/>
        <v>-</v>
      </c>
      <c r="AQ132" s="375" t="e">
        <f t="shared" si="50"/>
        <v>#VALUE!</v>
      </c>
      <c r="AR132" s="375">
        <f t="shared" si="47"/>
      </c>
    </row>
    <row r="133" spans="1:44" s="380" customFormat="1" ht="13.5" customHeight="1">
      <c r="A133" s="375" t="str">
        <f>IF(ISBLANK(F133)=TRUE," ",IF(ISBLANK('様式2'!$C$23)=TRUE," ",'様式2'!$C$23))</f>
        <v> </v>
      </c>
      <c r="B133" s="375" t="e">
        <f>LOOKUP(LOOKUP(C133,'様式3'!$A$5:$A$44,'様式3'!$C$5:$C$44),'産業分類表'!$D$2:$D$68,'産業分類表'!$E$2:$E$68)</f>
        <v>#N/A</v>
      </c>
      <c r="C133" s="343"/>
      <c r="D133" s="343"/>
      <c r="E133" s="343"/>
      <c r="F133" s="343"/>
      <c r="G133" s="341"/>
      <c r="H133" s="349"/>
      <c r="I133" s="343"/>
      <c r="J133" s="343"/>
      <c r="K133" s="342"/>
      <c r="L133" s="350"/>
      <c r="M133" s="351"/>
      <c r="N133" s="343"/>
      <c r="O133" s="354">
        <f t="shared" si="52"/>
      </c>
      <c r="P133" s="354">
        <f t="shared" si="53"/>
      </c>
      <c r="Q133" s="389"/>
      <c r="R133" s="376">
        <f t="shared" si="48"/>
      </c>
      <c r="S133" s="376">
        <f t="shared" si="49"/>
      </c>
      <c r="T133" s="352"/>
      <c r="U133" s="353"/>
      <c r="V133" s="352"/>
      <c r="W133" s="343"/>
      <c r="X133" s="388">
        <f aca="true" t="shared" si="69" ref="X133:X196">IF(ISBLANK(F133)=TRUE,"",IF(OR(ISBLANK(C133)=TRUE,ISBLANK(D133)=TRUE),1,""))</f>
      </c>
      <c r="Y133" s="375" t="e">
        <f t="shared" si="64"/>
        <v>#N/A</v>
      </c>
      <c r="Z133" s="375" t="e">
        <f t="shared" si="65"/>
        <v>#N/A</v>
      </c>
      <c r="AA133" s="375">
        <f aca="true" t="shared" si="70" ref="AA133:AA196">IF(ISERROR(SEARCH("-",G133,1))=TRUE,ASC(UPPER(G133)),ASC(UPPER(LEFT(G133,SEARCH("-",G133,1)-1))))</f>
      </c>
      <c r="AB133" s="377">
        <f t="shared" si="54"/>
        <v>1</v>
      </c>
      <c r="AC133" s="375" t="str">
        <f t="shared" si="55"/>
        <v> </v>
      </c>
      <c r="AD133" s="375" t="e">
        <f t="shared" si="56"/>
        <v>#N/A</v>
      </c>
      <c r="AE133" s="375" t="str">
        <f t="shared" si="57"/>
        <v> </v>
      </c>
      <c r="AF133" s="375" t="e">
        <f t="shared" si="66"/>
        <v>#N/A</v>
      </c>
      <c r="AG133" s="378" t="str">
        <f t="shared" si="58"/>
        <v> </v>
      </c>
      <c r="AH133" s="379" t="e">
        <f t="shared" si="59"/>
        <v>#VALUE!</v>
      </c>
      <c r="AI133" s="378" t="e">
        <f t="shared" si="60"/>
        <v>#VALUE!</v>
      </c>
      <c r="AJ133" s="375" t="e">
        <f t="shared" si="61"/>
        <v>#N/A</v>
      </c>
      <c r="AK133" s="375" t="e">
        <f>VLOOKUP(AJ133,'排出係数表'!$A$4:$C$202,2,FALSE)</f>
        <v>#N/A</v>
      </c>
      <c r="AL133" s="375" t="e">
        <f t="shared" si="67"/>
        <v>#N/A</v>
      </c>
      <c r="AM133" s="375" t="e">
        <f>VLOOKUP(AJ133,'排出係数表'!$A$4:$C$202,3,FALSE)</f>
        <v>#N/A</v>
      </c>
      <c r="AN133" s="375" t="e">
        <f t="shared" si="68"/>
        <v>#N/A</v>
      </c>
      <c r="AO133" s="375">
        <f t="shared" si="62"/>
      </c>
      <c r="AP133" s="379" t="str">
        <f t="shared" si="63"/>
        <v>-</v>
      </c>
      <c r="AQ133" s="375" t="e">
        <f t="shared" si="50"/>
        <v>#VALUE!</v>
      </c>
      <c r="AR133" s="375">
        <f aca="true" t="shared" si="71" ref="AR133:AR196">IF(ISBLANK(T133)=TRUE,"",AQ133&amp;LEFT(U133,4))</f>
      </c>
    </row>
    <row r="134" spans="1:44" s="380" customFormat="1" ht="13.5" customHeight="1">
      <c r="A134" s="375" t="str">
        <f>IF(ISBLANK(F134)=TRUE," ",IF(ISBLANK('様式2'!$C$23)=TRUE," ",'様式2'!$C$23))</f>
        <v> </v>
      </c>
      <c r="B134" s="375" t="e">
        <f>LOOKUP(LOOKUP(C134,'様式3'!$A$5:$A$44,'様式3'!$C$5:$C$44),'産業分類表'!$D$2:$D$68,'産業分類表'!$E$2:$E$68)</f>
        <v>#N/A</v>
      </c>
      <c r="C134" s="343"/>
      <c r="D134" s="343"/>
      <c r="E134" s="343"/>
      <c r="F134" s="343"/>
      <c r="G134" s="341"/>
      <c r="H134" s="349"/>
      <c r="I134" s="343"/>
      <c r="J134" s="343"/>
      <c r="K134" s="342"/>
      <c r="L134" s="350"/>
      <c r="M134" s="351"/>
      <c r="N134" s="343"/>
      <c r="O134" s="354">
        <f t="shared" si="52"/>
      </c>
      <c r="P134" s="354">
        <f t="shared" si="53"/>
      </c>
      <c r="Q134" s="389"/>
      <c r="R134" s="376">
        <f t="shared" si="48"/>
      </c>
      <c r="S134" s="376">
        <f t="shared" si="49"/>
      </c>
      <c r="T134" s="352"/>
      <c r="U134" s="353"/>
      <c r="V134" s="352"/>
      <c r="W134" s="343"/>
      <c r="X134" s="388">
        <f t="shared" si="69"/>
      </c>
      <c r="Y134" s="375" t="e">
        <f t="shared" si="64"/>
        <v>#N/A</v>
      </c>
      <c r="Z134" s="375" t="e">
        <f t="shared" si="65"/>
        <v>#N/A</v>
      </c>
      <c r="AA134" s="375">
        <f t="shared" si="70"/>
      </c>
      <c r="AB134" s="377">
        <f t="shared" si="54"/>
        <v>1</v>
      </c>
      <c r="AC134" s="375" t="str">
        <f t="shared" si="55"/>
        <v> </v>
      </c>
      <c r="AD134" s="375" t="e">
        <f t="shared" si="56"/>
        <v>#N/A</v>
      </c>
      <c r="AE134" s="375" t="str">
        <f t="shared" si="57"/>
        <v> </v>
      </c>
      <c r="AF134" s="375" t="e">
        <f t="shared" si="66"/>
        <v>#N/A</v>
      </c>
      <c r="AG134" s="378" t="str">
        <f t="shared" si="58"/>
        <v> </v>
      </c>
      <c r="AH134" s="379" t="e">
        <f t="shared" si="59"/>
        <v>#VALUE!</v>
      </c>
      <c r="AI134" s="378" t="e">
        <f t="shared" si="60"/>
        <v>#VALUE!</v>
      </c>
      <c r="AJ134" s="375" t="e">
        <f t="shared" si="61"/>
        <v>#N/A</v>
      </c>
      <c r="AK134" s="375" t="e">
        <f>VLOOKUP(AJ134,'排出係数表'!$A$4:$C$202,2,FALSE)</f>
        <v>#N/A</v>
      </c>
      <c r="AL134" s="375" t="e">
        <f t="shared" si="67"/>
        <v>#N/A</v>
      </c>
      <c r="AM134" s="375" t="e">
        <f>VLOOKUP(AJ134,'排出係数表'!$A$4:$C$202,3,FALSE)</f>
        <v>#N/A</v>
      </c>
      <c r="AN134" s="375" t="e">
        <f t="shared" si="68"/>
        <v>#N/A</v>
      </c>
      <c r="AO134" s="375">
        <f t="shared" si="62"/>
      </c>
      <c r="AP134" s="379" t="str">
        <f t="shared" si="63"/>
        <v>-</v>
      </c>
      <c r="AQ134" s="375" t="e">
        <f t="shared" si="50"/>
        <v>#VALUE!</v>
      </c>
      <c r="AR134" s="375">
        <f t="shared" si="71"/>
      </c>
    </row>
    <row r="135" spans="1:44" s="380" customFormat="1" ht="13.5" customHeight="1">
      <c r="A135" s="375" t="str">
        <f>IF(ISBLANK(F135)=TRUE," ",IF(ISBLANK('様式2'!$C$23)=TRUE," ",'様式2'!$C$23))</f>
        <v> </v>
      </c>
      <c r="B135" s="375" t="e">
        <f>LOOKUP(LOOKUP(C135,'様式3'!$A$5:$A$44,'様式3'!$C$5:$C$44),'産業分類表'!$D$2:$D$68,'産業分類表'!$E$2:$E$68)</f>
        <v>#N/A</v>
      </c>
      <c r="C135" s="343"/>
      <c r="D135" s="343"/>
      <c r="E135" s="343"/>
      <c r="F135" s="343"/>
      <c r="G135" s="341"/>
      <c r="H135" s="349"/>
      <c r="I135" s="343"/>
      <c r="J135" s="343"/>
      <c r="K135" s="342"/>
      <c r="L135" s="350"/>
      <c r="M135" s="351"/>
      <c r="N135" s="343"/>
      <c r="O135" s="354">
        <f t="shared" si="52"/>
      </c>
      <c r="P135" s="354">
        <f t="shared" si="53"/>
      </c>
      <c r="Q135" s="389"/>
      <c r="R135" s="376">
        <f t="shared" si="48"/>
      </c>
      <c r="S135" s="376">
        <f t="shared" si="49"/>
      </c>
      <c r="T135" s="352"/>
      <c r="U135" s="353"/>
      <c r="V135" s="352"/>
      <c r="W135" s="343"/>
      <c r="X135" s="388">
        <f t="shared" si="69"/>
      </c>
      <c r="Y135" s="375" t="e">
        <f t="shared" si="64"/>
        <v>#N/A</v>
      </c>
      <c r="Z135" s="375" t="e">
        <f t="shared" si="65"/>
        <v>#N/A</v>
      </c>
      <c r="AA135" s="375">
        <f t="shared" si="70"/>
      </c>
      <c r="AB135" s="377">
        <f t="shared" si="54"/>
        <v>1</v>
      </c>
      <c r="AC135" s="375" t="str">
        <f t="shared" si="55"/>
        <v> </v>
      </c>
      <c r="AD135" s="375" t="e">
        <f t="shared" si="56"/>
        <v>#N/A</v>
      </c>
      <c r="AE135" s="375" t="str">
        <f t="shared" si="57"/>
        <v> </v>
      </c>
      <c r="AF135" s="375" t="e">
        <f t="shared" si="66"/>
        <v>#N/A</v>
      </c>
      <c r="AG135" s="378" t="str">
        <f t="shared" si="58"/>
        <v> </v>
      </c>
      <c r="AH135" s="379" t="e">
        <f t="shared" si="59"/>
        <v>#VALUE!</v>
      </c>
      <c r="AI135" s="378" t="e">
        <f t="shared" si="60"/>
        <v>#VALUE!</v>
      </c>
      <c r="AJ135" s="375" t="e">
        <f t="shared" si="61"/>
        <v>#N/A</v>
      </c>
      <c r="AK135" s="375" t="e">
        <f>VLOOKUP(AJ135,'排出係数表'!$A$4:$C$202,2,FALSE)</f>
        <v>#N/A</v>
      </c>
      <c r="AL135" s="375" t="e">
        <f t="shared" si="67"/>
        <v>#N/A</v>
      </c>
      <c r="AM135" s="375" t="e">
        <f>VLOOKUP(AJ135,'排出係数表'!$A$4:$C$202,3,FALSE)</f>
        <v>#N/A</v>
      </c>
      <c r="AN135" s="375" t="e">
        <f t="shared" si="68"/>
        <v>#N/A</v>
      </c>
      <c r="AO135" s="375">
        <f t="shared" si="62"/>
      </c>
      <c r="AP135" s="379" t="str">
        <f t="shared" si="63"/>
        <v>-</v>
      </c>
      <c r="AQ135" s="375" t="e">
        <f t="shared" si="50"/>
        <v>#VALUE!</v>
      </c>
      <c r="AR135" s="375">
        <f t="shared" si="71"/>
      </c>
    </row>
    <row r="136" spans="1:44" s="380" customFormat="1" ht="13.5" customHeight="1">
      <c r="A136" s="375" t="str">
        <f>IF(ISBLANK(F136)=TRUE," ",IF(ISBLANK('様式2'!$C$23)=TRUE," ",'様式2'!$C$23))</f>
        <v> </v>
      </c>
      <c r="B136" s="375" t="e">
        <f>LOOKUP(LOOKUP(C136,'様式3'!$A$5:$A$44,'様式3'!$C$5:$C$44),'産業分類表'!$D$2:$D$68,'産業分類表'!$E$2:$E$68)</f>
        <v>#N/A</v>
      </c>
      <c r="C136" s="343"/>
      <c r="D136" s="343"/>
      <c r="E136" s="343"/>
      <c r="F136" s="343"/>
      <c r="G136" s="341"/>
      <c r="H136" s="349"/>
      <c r="I136" s="343"/>
      <c r="J136" s="343"/>
      <c r="K136" s="342"/>
      <c r="L136" s="350"/>
      <c r="M136" s="351"/>
      <c r="N136" s="343"/>
      <c r="O136" s="354">
        <f t="shared" si="52"/>
      </c>
      <c r="P136" s="354">
        <f t="shared" si="53"/>
      </c>
      <c r="Q136" s="389"/>
      <c r="R136" s="376">
        <f t="shared" si="48"/>
      </c>
      <c r="S136" s="376">
        <f t="shared" si="49"/>
      </c>
      <c r="T136" s="352"/>
      <c r="U136" s="353"/>
      <c r="V136" s="352"/>
      <c r="W136" s="343"/>
      <c r="X136" s="388">
        <f t="shared" si="69"/>
      </c>
      <c r="Y136" s="375" t="e">
        <f t="shared" si="64"/>
        <v>#N/A</v>
      </c>
      <c r="Z136" s="375" t="e">
        <f t="shared" si="65"/>
        <v>#N/A</v>
      </c>
      <c r="AA136" s="375">
        <f t="shared" si="70"/>
      </c>
      <c r="AB136" s="377">
        <f t="shared" si="54"/>
        <v>1</v>
      </c>
      <c r="AC136" s="375" t="str">
        <f t="shared" si="55"/>
        <v> </v>
      </c>
      <c r="AD136" s="375" t="e">
        <f t="shared" si="56"/>
        <v>#N/A</v>
      </c>
      <c r="AE136" s="375" t="str">
        <f t="shared" si="57"/>
        <v> </v>
      </c>
      <c r="AF136" s="375" t="e">
        <f t="shared" si="66"/>
        <v>#N/A</v>
      </c>
      <c r="AG136" s="378" t="str">
        <f t="shared" si="58"/>
        <v> </v>
      </c>
      <c r="AH136" s="379" t="e">
        <f t="shared" si="59"/>
        <v>#VALUE!</v>
      </c>
      <c r="AI136" s="378" t="e">
        <f t="shared" si="60"/>
        <v>#VALUE!</v>
      </c>
      <c r="AJ136" s="375" t="e">
        <f t="shared" si="61"/>
        <v>#N/A</v>
      </c>
      <c r="AK136" s="375" t="e">
        <f>VLOOKUP(AJ136,'排出係数表'!$A$4:$C$202,2,FALSE)</f>
        <v>#N/A</v>
      </c>
      <c r="AL136" s="375" t="e">
        <f t="shared" si="67"/>
        <v>#N/A</v>
      </c>
      <c r="AM136" s="375" t="e">
        <f>VLOOKUP(AJ136,'排出係数表'!$A$4:$C$202,3,FALSE)</f>
        <v>#N/A</v>
      </c>
      <c r="AN136" s="375" t="e">
        <f t="shared" si="68"/>
        <v>#N/A</v>
      </c>
      <c r="AO136" s="375">
        <f t="shared" si="62"/>
      </c>
      <c r="AP136" s="379" t="str">
        <f t="shared" si="63"/>
        <v>-</v>
      </c>
      <c r="AQ136" s="375" t="e">
        <f t="shared" si="50"/>
        <v>#VALUE!</v>
      </c>
      <c r="AR136" s="375">
        <f t="shared" si="71"/>
      </c>
    </row>
    <row r="137" spans="1:44" s="380" customFormat="1" ht="13.5" customHeight="1">
      <c r="A137" s="375" t="str">
        <f>IF(ISBLANK(F137)=TRUE," ",IF(ISBLANK('様式2'!$C$23)=TRUE," ",'様式2'!$C$23))</f>
        <v> </v>
      </c>
      <c r="B137" s="375" t="e">
        <f>LOOKUP(LOOKUP(C137,'様式3'!$A$5:$A$44,'様式3'!$C$5:$C$44),'産業分類表'!$D$2:$D$68,'産業分類表'!$E$2:$E$68)</f>
        <v>#N/A</v>
      </c>
      <c r="C137" s="343"/>
      <c r="D137" s="343"/>
      <c r="E137" s="343"/>
      <c r="F137" s="343"/>
      <c r="G137" s="341"/>
      <c r="H137" s="349"/>
      <c r="I137" s="343"/>
      <c r="J137" s="343"/>
      <c r="K137" s="342"/>
      <c r="L137" s="350"/>
      <c r="M137" s="351"/>
      <c r="N137" s="343"/>
      <c r="O137" s="354">
        <f t="shared" si="52"/>
      </c>
      <c r="P137" s="354">
        <f t="shared" si="53"/>
      </c>
      <c r="Q137" s="389"/>
      <c r="R137" s="376">
        <f t="shared" si="48"/>
      </c>
      <c r="S137" s="376">
        <f t="shared" si="49"/>
      </c>
      <c r="T137" s="352"/>
      <c r="U137" s="353"/>
      <c r="V137" s="352"/>
      <c r="W137" s="343"/>
      <c r="X137" s="388">
        <f t="shared" si="69"/>
      </c>
      <c r="Y137" s="375" t="e">
        <f t="shared" si="64"/>
        <v>#N/A</v>
      </c>
      <c r="Z137" s="375" t="e">
        <f t="shared" si="65"/>
        <v>#N/A</v>
      </c>
      <c r="AA137" s="375">
        <f t="shared" si="70"/>
      </c>
      <c r="AB137" s="377">
        <f t="shared" si="54"/>
        <v>1</v>
      </c>
      <c r="AC137" s="375" t="str">
        <f t="shared" si="55"/>
        <v> </v>
      </c>
      <c r="AD137" s="375" t="e">
        <f t="shared" si="56"/>
        <v>#N/A</v>
      </c>
      <c r="AE137" s="375" t="str">
        <f t="shared" si="57"/>
        <v> </v>
      </c>
      <c r="AF137" s="375" t="e">
        <f t="shared" si="66"/>
        <v>#N/A</v>
      </c>
      <c r="AG137" s="378" t="str">
        <f t="shared" si="58"/>
        <v> </v>
      </c>
      <c r="AH137" s="379" t="e">
        <f t="shared" si="59"/>
        <v>#VALUE!</v>
      </c>
      <c r="AI137" s="378" t="e">
        <f t="shared" si="60"/>
        <v>#VALUE!</v>
      </c>
      <c r="AJ137" s="375" t="e">
        <f t="shared" si="61"/>
        <v>#N/A</v>
      </c>
      <c r="AK137" s="375" t="e">
        <f>VLOOKUP(AJ137,'排出係数表'!$A$4:$C$202,2,FALSE)</f>
        <v>#N/A</v>
      </c>
      <c r="AL137" s="375" t="e">
        <f t="shared" si="67"/>
        <v>#N/A</v>
      </c>
      <c r="AM137" s="375" t="e">
        <f>VLOOKUP(AJ137,'排出係数表'!$A$4:$C$202,3,FALSE)</f>
        <v>#N/A</v>
      </c>
      <c r="AN137" s="375" t="e">
        <f t="shared" si="68"/>
        <v>#N/A</v>
      </c>
      <c r="AO137" s="375">
        <f t="shared" si="62"/>
      </c>
      <c r="AP137" s="379" t="str">
        <f t="shared" si="63"/>
        <v>-</v>
      </c>
      <c r="AQ137" s="375" t="e">
        <f t="shared" si="50"/>
        <v>#VALUE!</v>
      </c>
      <c r="AR137" s="375">
        <f t="shared" si="71"/>
      </c>
    </row>
    <row r="138" spans="1:44" s="380" customFormat="1" ht="13.5" customHeight="1">
      <c r="A138" s="375" t="str">
        <f>IF(ISBLANK(F138)=TRUE," ",IF(ISBLANK('様式2'!$C$23)=TRUE," ",'様式2'!$C$23))</f>
        <v> </v>
      </c>
      <c r="B138" s="375" t="e">
        <f>LOOKUP(LOOKUP(C138,'様式3'!$A$5:$A$44,'様式3'!$C$5:$C$44),'産業分類表'!$D$2:$D$68,'産業分類表'!$E$2:$E$68)</f>
        <v>#N/A</v>
      </c>
      <c r="C138" s="343"/>
      <c r="D138" s="343"/>
      <c r="E138" s="343"/>
      <c r="F138" s="343"/>
      <c r="G138" s="341"/>
      <c r="H138" s="349"/>
      <c r="I138" s="343"/>
      <c r="J138" s="343"/>
      <c r="K138" s="342"/>
      <c r="L138" s="350"/>
      <c r="M138" s="351"/>
      <c r="N138" s="343"/>
      <c r="O138" s="354">
        <f t="shared" si="52"/>
      </c>
      <c r="P138" s="354">
        <f t="shared" si="53"/>
      </c>
      <c r="Q138" s="389"/>
      <c r="R138" s="376">
        <f t="shared" si="48"/>
      </c>
      <c r="S138" s="376">
        <f t="shared" si="49"/>
      </c>
      <c r="T138" s="352"/>
      <c r="U138" s="353"/>
      <c r="V138" s="352"/>
      <c r="W138" s="343"/>
      <c r="X138" s="388">
        <f t="shared" si="69"/>
      </c>
      <c r="Y138" s="375" t="e">
        <f t="shared" si="64"/>
        <v>#N/A</v>
      </c>
      <c r="Z138" s="375" t="e">
        <f t="shared" si="65"/>
        <v>#N/A</v>
      </c>
      <c r="AA138" s="375">
        <f t="shared" si="70"/>
      </c>
      <c r="AB138" s="377">
        <f t="shared" si="54"/>
        <v>1</v>
      </c>
      <c r="AC138" s="375" t="str">
        <f t="shared" si="55"/>
        <v> </v>
      </c>
      <c r="AD138" s="375" t="e">
        <f t="shared" si="56"/>
        <v>#N/A</v>
      </c>
      <c r="AE138" s="375" t="str">
        <f t="shared" si="57"/>
        <v> </v>
      </c>
      <c r="AF138" s="375" t="e">
        <f t="shared" si="66"/>
        <v>#N/A</v>
      </c>
      <c r="AG138" s="378" t="str">
        <f t="shared" si="58"/>
        <v> </v>
      </c>
      <c r="AH138" s="379" t="e">
        <f t="shared" si="59"/>
        <v>#VALUE!</v>
      </c>
      <c r="AI138" s="378" t="e">
        <f t="shared" si="60"/>
        <v>#VALUE!</v>
      </c>
      <c r="AJ138" s="375" t="e">
        <f t="shared" si="61"/>
        <v>#N/A</v>
      </c>
      <c r="AK138" s="375" t="e">
        <f>VLOOKUP(AJ138,'排出係数表'!$A$4:$C$202,2,FALSE)</f>
        <v>#N/A</v>
      </c>
      <c r="AL138" s="375" t="e">
        <f t="shared" si="67"/>
        <v>#N/A</v>
      </c>
      <c r="AM138" s="375" t="e">
        <f>VLOOKUP(AJ138,'排出係数表'!$A$4:$C$202,3,FALSE)</f>
        <v>#N/A</v>
      </c>
      <c r="AN138" s="375" t="e">
        <f t="shared" si="68"/>
        <v>#N/A</v>
      </c>
      <c r="AO138" s="375">
        <f t="shared" si="62"/>
      </c>
      <c r="AP138" s="379" t="str">
        <f t="shared" si="63"/>
        <v>-</v>
      </c>
      <c r="AQ138" s="375" t="e">
        <f t="shared" si="50"/>
        <v>#VALUE!</v>
      </c>
      <c r="AR138" s="375">
        <f t="shared" si="71"/>
      </c>
    </row>
    <row r="139" spans="1:44" s="380" customFormat="1" ht="13.5" customHeight="1">
      <c r="A139" s="375" t="str">
        <f>IF(ISBLANK(F139)=TRUE," ",IF(ISBLANK('様式2'!$C$23)=TRUE," ",'様式2'!$C$23))</f>
        <v> </v>
      </c>
      <c r="B139" s="375" t="e">
        <f>LOOKUP(LOOKUP(C139,'様式3'!$A$5:$A$44,'様式3'!$C$5:$C$44),'産業分類表'!$D$2:$D$68,'産業分類表'!$E$2:$E$68)</f>
        <v>#N/A</v>
      </c>
      <c r="C139" s="343"/>
      <c r="D139" s="343"/>
      <c r="E139" s="343"/>
      <c r="F139" s="343"/>
      <c r="G139" s="341"/>
      <c r="H139" s="349"/>
      <c r="I139" s="343"/>
      <c r="J139" s="343"/>
      <c r="K139" s="342"/>
      <c r="L139" s="350"/>
      <c r="M139" s="351"/>
      <c r="N139" s="343"/>
      <c r="O139" s="354">
        <f t="shared" si="52"/>
      </c>
      <c r="P139" s="354">
        <f t="shared" si="53"/>
      </c>
      <c r="Q139" s="389"/>
      <c r="R139" s="376">
        <f aca="true" t="shared" si="72" ref="R139:R202">IF(O139="","",IF(ISERROR(O139*AB139),"要確認",IF(ISBLANK(Q139)=TRUE,"要確認",IF(ISBLANK(O139)=TRUE,"要確認",O139*AB139*Q139/1000))))</f>
      </c>
      <c r="S139" s="376">
        <f aca="true" t="shared" si="73" ref="S139:S202">IF(P139="","",IF(ISERROR(P139*AB139),"要確認",IF(ISBLANK(Q139)=TRUE,"要確認",IF(ISBLANK(P139)=TRUE,"要確認",P139*AB139*Q139/1000))))</f>
      </c>
      <c r="T139" s="352"/>
      <c r="U139" s="353"/>
      <c r="V139" s="352"/>
      <c r="W139" s="343"/>
      <c r="X139" s="388">
        <f t="shared" si="69"/>
      </c>
      <c r="Y139" s="375" t="e">
        <f t="shared" si="64"/>
        <v>#N/A</v>
      </c>
      <c r="Z139" s="375" t="e">
        <f t="shared" si="65"/>
        <v>#N/A</v>
      </c>
      <c r="AA139" s="375">
        <f t="shared" si="70"/>
      </c>
      <c r="AB139" s="377">
        <f t="shared" si="54"/>
        <v>1</v>
      </c>
      <c r="AC139" s="375" t="str">
        <f t="shared" si="55"/>
        <v> </v>
      </c>
      <c r="AD139" s="375" t="e">
        <f t="shared" si="56"/>
        <v>#N/A</v>
      </c>
      <c r="AE139" s="375" t="str">
        <f t="shared" si="57"/>
        <v> </v>
      </c>
      <c r="AF139" s="375" t="e">
        <f t="shared" si="66"/>
        <v>#N/A</v>
      </c>
      <c r="AG139" s="378" t="str">
        <f t="shared" si="58"/>
        <v> </v>
      </c>
      <c r="AH139" s="379" t="e">
        <f t="shared" si="59"/>
        <v>#VALUE!</v>
      </c>
      <c r="AI139" s="378" t="e">
        <f t="shared" si="60"/>
        <v>#VALUE!</v>
      </c>
      <c r="AJ139" s="375" t="e">
        <f t="shared" si="61"/>
        <v>#N/A</v>
      </c>
      <c r="AK139" s="375" t="e">
        <f>VLOOKUP(AJ139,'排出係数表'!$A$4:$C$202,2,FALSE)</f>
        <v>#N/A</v>
      </c>
      <c r="AL139" s="375" t="e">
        <f t="shared" si="67"/>
        <v>#N/A</v>
      </c>
      <c r="AM139" s="375" t="e">
        <f>VLOOKUP(AJ139,'排出係数表'!$A$4:$C$202,3,FALSE)</f>
        <v>#N/A</v>
      </c>
      <c r="AN139" s="375" t="e">
        <f t="shared" si="68"/>
        <v>#N/A</v>
      </c>
      <c r="AO139" s="375">
        <f t="shared" si="62"/>
      </c>
      <c r="AP139" s="379" t="str">
        <f t="shared" si="63"/>
        <v>-</v>
      </c>
      <c r="AQ139" s="375" t="e">
        <f t="shared" si="50"/>
        <v>#VALUE!</v>
      </c>
      <c r="AR139" s="375">
        <f t="shared" si="71"/>
      </c>
    </row>
    <row r="140" spans="1:44" s="380" customFormat="1" ht="13.5" customHeight="1">
      <c r="A140" s="375" t="str">
        <f>IF(ISBLANK(F140)=TRUE," ",IF(ISBLANK('様式2'!$C$23)=TRUE," ",'様式2'!$C$23))</f>
        <v> </v>
      </c>
      <c r="B140" s="375" t="e">
        <f>LOOKUP(LOOKUP(C140,'様式3'!$A$5:$A$44,'様式3'!$C$5:$C$44),'産業分類表'!$D$2:$D$68,'産業分類表'!$E$2:$E$68)</f>
        <v>#N/A</v>
      </c>
      <c r="C140" s="343"/>
      <c r="D140" s="343"/>
      <c r="E140" s="343"/>
      <c r="F140" s="343"/>
      <c r="G140" s="341"/>
      <c r="H140" s="349"/>
      <c r="I140" s="343"/>
      <c r="J140" s="343"/>
      <c r="K140" s="342"/>
      <c r="L140" s="350"/>
      <c r="M140" s="351"/>
      <c r="N140" s="343"/>
      <c r="O140" s="354">
        <f t="shared" si="52"/>
      </c>
      <c r="P140" s="354">
        <f t="shared" si="53"/>
      </c>
      <c r="Q140" s="389"/>
      <c r="R140" s="376">
        <f t="shared" si="72"/>
      </c>
      <c r="S140" s="376">
        <f t="shared" si="73"/>
      </c>
      <c r="T140" s="352"/>
      <c r="U140" s="353"/>
      <c r="V140" s="352"/>
      <c r="W140" s="343"/>
      <c r="X140" s="388">
        <f t="shared" si="69"/>
      </c>
      <c r="Y140" s="375" t="e">
        <f t="shared" si="64"/>
        <v>#N/A</v>
      </c>
      <c r="Z140" s="375" t="e">
        <f t="shared" si="65"/>
        <v>#N/A</v>
      </c>
      <c r="AA140" s="375">
        <f t="shared" si="70"/>
      </c>
      <c r="AB140" s="377">
        <f t="shared" si="54"/>
        <v>1</v>
      </c>
      <c r="AC140" s="375" t="str">
        <f t="shared" si="55"/>
        <v> </v>
      </c>
      <c r="AD140" s="375" t="e">
        <f t="shared" si="56"/>
        <v>#N/A</v>
      </c>
      <c r="AE140" s="375" t="str">
        <f t="shared" si="57"/>
        <v> </v>
      </c>
      <c r="AF140" s="375" t="e">
        <f t="shared" si="66"/>
        <v>#N/A</v>
      </c>
      <c r="AG140" s="378" t="str">
        <f t="shared" si="58"/>
        <v> </v>
      </c>
      <c r="AH140" s="379" t="e">
        <f t="shared" si="59"/>
        <v>#VALUE!</v>
      </c>
      <c r="AI140" s="378" t="e">
        <f t="shared" si="60"/>
        <v>#VALUE!</v>
      </c>
      <c r="AJ140" s="375" t="e">
        <f t="shared" si="61"/>
        <v>#N/A</v>
      </c>
      <c r="AK140" s="375" t="e">
        <f>VLOOKUP(AJ140,'排出係数表'!$A$4:$C$202,2,FALSE)</f>
        <v>#N/A</v>
      </c>
      <c r="AL140" s="375" t="e">
        <f t="shared" si="67"/>
        <v>#N/A</v>
      </c>
      <c r="AM140" s="375" t="e">
        <f>VLOOKUP(AJ140,'排出係数表'!$A$4:$C$202,3,FALSE)</f>
        <v>#N/A</v>
      </c>
      <c r="AN140" s="375" t="e">
        <f t="shared" si="68"/>
        <v>#N/A</v>
      </c>
      <c r="AO140" s="375">
        <f t="shared" si="62"/>
      </c>
      <c r="AP140" s="379" t="str">
        <f t="shared" si="63"/>
        <v>-</v>
      </c>
      <c r="AQ140" s="375" t="e">
        <f aca="true" t="shared" si="74" ref="AQ140:AQ203">IF(ISBLANK(T140)=TRUE,AI140,IF(T140="減車","減車",IF(OR(V140="同車種",ISBLANK(V140)=TRUE),IF(ISBLANK(W140)=TRUE,Z140&amp;AE140,VALUE(LEFT(W140,2))&amp;Z140&amp;AE140),IF(ISBLANK(W140)=TRUE,V140,VALUE(LEFT(W140,2))&amp;V140))))</f>
        <v>#VALUE!</v>
      </c>
      <c r="AR140" s="375">
        <f t="shared" si="71"/>
      </c>
    </row>
    <row r="141" spans="1:44" s="380" customFormat="1" ht="13.5" customHeight="1">
      <c r="A141" s="375" t="str">
        <f>IF(ISBLANK(F141)=TRUE," ",IF(ISBLANK('様式2'!$C$23)=TRUE," ",'様式2'!$C$23))</f>
        <v> </v>
      </c>
      <c r="B141" s="375" t="e">
        <f>LOOKUP(LOOKUP(C141,'様式3'!$A$5:$A$44,'様式3'!$C$5:$C$44),'産業分類表'!$D$2:$D$68,'産業分類表'!$E$2:$E$68)</f>
        <v>#N/A</v>
      </c>
      <c r="C141" s="343"/>
      <c r="D141" s="343"/>
      <c r="E141" s="343"/>
      <c r="F141" s="343"/>
      <c r="G141" s="341"/>
      <c r="H141" s="349"/>
      <c r="I141" s="343"/>
      <c r="J141" s="343"/>
      <c r="K141" s="342"/>
      <c r="L141" s="350"/>
      <c r="M141" s="351"/>
      <c r="N141" s="343"/>
      <c r="O141" s="354">
        <f t="shared" si="52"/>
      </c>
      <c r="P141" s="354">
        <f t="shared" si="53"/>
      </c>
      <c r="Q141" s="389"/>
      <c r="R141" s="376">
        <f t="shared" si="72"/>
      </c>
      <c r="S141" s="376">
        <f t="shared" si="73"/>
      </c>
      <c r="T141" s="352"/>
      <c r="U141" s="353"/>
      <c r="V141" s="352"/>
      <c r="W141" s="343"/>
      <c r="X141" s="388">
        <f t="shared" si="69"/>
      </c>
      <c r="Y141" s="375" t="e">
        <f t="shared" si="64"/>
        <v>#N/A</v>
      </c>
      <c r="Z141" s="375" t="e">
        <f t="shared" si="65"/>
        <v>#N/A</v>
      </c>
      <c r="AA141" s="375">
        <f t="shared" si="70"/>
      </c>
      <c r="AB141" s="377">
        <f t="shared" si="54"/>
        <v>1</v>
      </c>
      <c r="AC141" s="375" t="str">
        <f t="shared" si="55"/>
        <v> </v>
      </c>
      <c r="AD141" s="375" t="e">
        <f t="shared" si="56"/>
        <v>#N/A</v>
      </c>
      <c r="AE141" s="375" t="str">
        <f t="shared" si="57"/>
        <v> </v>
      </c>
      <c r="AF141" s="375" t="e">
        <f t="shared" si="66"/>
        <v>#N/A</v>
      </c>
      <c r="AG141" s="378" t="str">
        <f t="shared" si="58"/>
        <v> </v>
      </c>
      <c r="AH141" s="379" t="e">
        <f t="shared" si="59"/>
        <v>#VALUE!</v>
      </c>
      <c r="AI141" s="378" t="e">
        <f t="shared" si="60"/>
        <v>#VALUE!</v>
      </c>
      <c r="AJ141" s="375" t="e">
        <f t="shared" si="61"/>
        <v>#N/A</v>
      </c>
      <c r="AK141" s="375" t="e">
        <f>VLOOKUP(AJ141,'排出係数表'!$A$4:$C$202,2,FALSE)</f>
        <v>#N/A</v>
      </c>
      <c r="AL141" s="375" t="e">
        <f t="shared" si="67"/>
        <v>#N/A</v>
      </c>
      <c r="AM141" s="375" t="e">
        <f>VLOOKUP(AJ141,'排出係数表'!$A$4:$C$202,3,FALSE)</f>
        <v>#N/A</v>
      </c>
      <c r="AN141" s="375" t="e">
        <f t="shared" si="68"/>
        <v>#N/A</v>
      </c>
      <c r="AO141" s="375">
        <f t="shared" si="62"/>
      </c>
      <c r="AP141" s="379" t="str">
        <f t="shared" si="63"/>
        <v>-</v>
      </c>
      <c r="AQ141" s="375" t="e">
        <f t="shared" si="74"/>
        <v>#VALUE!</v>
      </c>
      <c r="AR141" s="375">
        <f t="shared" si="71"/>
      </c>
    </row>
    <row r="142" spans="1:44" s="380" customFormat="1" ht="13.5" customHeight="1">
      <c r="A142" s="375" t="str">
        <f>IF(ISBLANK(F142)=TRUE," ",IF(ISBLANK('様式2'!$C$23)=TRUE," ",'様式2'!$C$23))</f>
        <v> </v>
      </c>
      <c r="B142" s="375" t="e">
        <f>LOOKUP(LOOKUP(C142,'様式3'!$A$5:$A$44,'様式3'!$C$5:$C$44),'産業分類表'!$D$2:$D$68,'産業分類表'!$E$2:$E$68)</f>
        <v>#N/A</v>
      </c>
      <c r="C142" s="343"/>
      <c r="D142" s="343"/>
      <c r="E142" s="343"/>
      <c r="F142" s="343"/>
      <c r="G142" s="341"/>
      <c r="H142" s="349"/>
      <c r="I142" s="343"/>
      <c r="J142" s="343"/>
      <c r="K142" s="342"/>
      <c r="L142" s="350"/>
      <c r="M142" s="351"/>
      <c r="N142" s="343"/>
      <c r="O142" s="354">
        <f t="shared" si="52"/>
      </c>
      <c r="P142" s="354">
        <f t="shared" si="53"/>
      </c>
      <c r="Q142" s="389"/>
      <c r="R142" s="376">
        <f t="shared" si="72"/>
      </c>
      <c r="S142" s="376">
        <f t="shared" si="73"/>
      </c>
      <c r="T142" s="352"/>
      <c r="U142" s="353"/>
      <c r="V142" s="352"/>
      <c r="W142" s="343"/>
      <c r="X142" s="388">
        <f t="shared" si="69"/>
      </c>
      <c r="Y142" s="375" t="e">
        <f t="shared" si="64"/>
        <v>#N/A</v>
      </c>
      <c r="Z142" s="375" t="e">
        <f t="shared" si="65"/>
        <v>#N/A</v>
      </c>
      <c r="AA142" s="375">
        <f t="shared" si="70"/>
      </c>
      <c r="AB142" s="377">
        <f t="shared" si="54"/>
        <v>1</v>
      </c>
      <c r="AC142" s="375" t="str">
        <f t="shared" si="55"/>
        <v> </v>
      </c>
      <c r="AD142" s="375" t="e">
        <f t="shared" si="56"/>
        <v>#N/A</v>
      </c>
      <c r="AE142" s="375" t="str">
        <f t="shared" si="57"/>
        <v> </v>
      </c>
      <c r="AF142" s="375" t="e">
        <f t="shared" si="66"/>
        <v>#N/A</v>
      </c>
      <c r="AG142" s="378" t="str">
        <f t="shared" si="58"/>
        <v> </v>
      </c>
      <c r="AH142" s="379" t="e">
        <f t="shared" si="59"/>
        <v>#VALUE!</v>
      </c>
      <c r="AI142" s="378" t="e">
        <f t="shared" si="60"/>
        <v>#VALUE!</v>
      </c>
      <c r="AJ142" s="375" t="e">
        <f t="shared" si="61"/>
        <v>#N/A</v>
      </c>
      <c r="AK142" s="375" t="e">
        <f>VLOOKUP(AJ142,'排出係数表'!$A$4:$C$202,2,FALSE)</f>
        <v>#N/A</v>
      </c>
      <c r="AL142" s="375" t="e">
        <f t="shared" si="67"/>
        <v>#N/A</v>
      </c>
      <c r="AM142" s="375" t="e">
        <f>VLOOKUP(AJ142,'排出係数表'!$A$4:$C$202,3,FALSE)</f>
        <v>#N/A</v>
      </c>
      <c r="AN142" s="375" t="e">
        <f t="shared" si="68"/>
        <v>#N/A</v>
      </c>
      <c r="AO142" s="375">
        <f t="shared" si="62"/>
      </c>
      <c r="AP142" s="379" t="str">
        <f t="shared" si="63"/>
        <v>-</v>
      </c>
      <c r="AQ142" s="375" t="e">
        <f t="shared" si="74"/>
        <v>#VALUE!</v>
      </c>
      <c r="AR142" s="375">
        <f t="shared" si="71"/>
      </c>
    </row>
    <row r="143" spans="1:44" s="380" customFormat="1" ht="13.5" customHeight="1">
      <c r="A143" s="375" t="str">
        <f>IF(ISBLANK(F143)=TRUE," ",IF(ISBLANK('様式2'!$C$23)=TRUE," ",'様式2'!$C$23))</f>
        <v> </v>
      </c>
      <c r="B143" s="375" t="e">
        <f>LOOKUP(LOOKUP(C143,'様式3'!$A$5:$A$44,'様式3'!$C$5:$C$44),'産業分類表'!$D$2:$D$68,'産業分類表'!$E$2:$E$68)</f>
        <v>#N/A</v>
      </c>
      <c r="C143" s="343"/>
      <c r="D143" s="343"/>
      <c r="E143" s="343"/>
      <c r="F143" s="343"/>
      <c r="G143" s="341"/>
      <c r="H143" s="349"/>
      <c r="I143" s="343"/>
      <c r="J143" s="343"/>
      <c r="K143" s="342"/>
      <c r="L143" s="350"/>
      <c r="M143" s="351"/>
      <c r="N143" s="343"/>
      <c r="O143" s="354">
        <f t="shared" si="52"/>
      </c>
      <c r="P143" s="354">
        <f t="shared" si="53"/>
      </c>
      <c r="Q143" s="389"/>
      <c r="R143" s="376">
        <f t="shared" si="72"/>
      </c>
      <c r="S143" s="376">
        <f t="shared" si="73"/>
      </c>
      <c r="T143" s="352"/>
      <c r="U143" s="353"/>
      <c r="V143" s="352"/>
      <c r="W143" s="343"/>
      <c r="X143" s="388">
        <f t="shared" si="69"/>
      </c>
      <c r="Y143" s="375" t="e">
        <f t="shared" si="64"/>
        <v>#N/A</v>
      </c>
      <c r="Z143" s="375" t="e">
        <f t="shared" si="65"/>
        <v>#N/A</v>
      </c>
      <c r="AA143" s="375">
        <f t="shared" si="70"/>
      </c>
      <c r="AB143" s="377">
        <f t="shared" si="54"/>
        <v>1</v>
      </c>
      <c r="AC143" s="375" t="str">
        <f t="shared" si="55"/>
        <v> </v>
      </c>
      <c r="AD143" s="375" t="e">
        <f t="shared" si="56"/>
        <v>#N/A</v>
      </c>
      <c r="AE143" s="375" t="str">
        <f t="shared" si="57"/>
        <v> </v>
      </c>
      <c r="AF143" s="375" t="e">
        <f t="shared" si="66"/>
        <v>#N/A</v>
      </c>
      <c r="AG143" s="378" t="str">
        <f t="shared" si="58"/>
        <v> </v>
      </c>
      <c r="AH143" s="379" t="e">
        <f t="shared" si="59"/>
        <v>#VALUE!</v>
      </c>
      <c r="AI143" s="378" t="e">
        <f t="shared" si="60"/>
        <v>#VALUE!</v>
      </c>
      <c r="AJ143" s="375" t="e">
        <f t="shared" si="61"/>
        <v>#N/A</v>
      </c>
      <c r="AK143" s="375" t="e">
        <f>VLOOKUP(AJ143,'排出係数表'!$A$4:$C$202,2,FALSE)</f>
        <v>#N/A</v>
      </c>
      <c r="AL143" s="375" t="e">
        <f t="shared" si="67"/>
        <v>#N/A</v>
      </c>
      <c r="AM143" s="375" t="e">
        <f>VLOOKUP(AJ143,'排出係数表'!$A$4:$C$202,3,FALSE)</f>
        <v>#N/A</v>
      </c>
      <c r="AN143" s="375" t="e">
        <f t="shared" si="68"/>
        <v>#N/A</v>
      </c>
      <c r="AO143" s="375">
        <f t="shared" si="62"/>
      </c>
      <c r="AP143" s="379" t="str">
        <f t="shared" si="63"/>
        <v>-</v>
      </c>
      <c r="AQ143" s="375" t="e">
        <f t="shared" si="74"/>
        <v>#VALUE!</v>
      </c>
      <c r="AR143" s="375">
        <f t="shared" si="71"/>
      </c>
    </row>
    <row r="144" spans="1:44" s="380" customFormat="1" ht="13.5" customHeight="1">
      <c r="A144" s="375" t="str">
        <f>IF(ISBLANK(F144)=TRUE," ",IF(ISBLANK('様式2'!$C$23)=TRUE," ",'様式2'!$C$23))</f>
        <v> </v>
      </c>
      <c r="B144" s="375" t="e">
        <f>LOOKUP(LOOKUP(C144,'様式3'!$A$5:$A$44,'様式3'!$C$5:$C$44),'産業分類表'!$D$2:$D$68,'産業分類表'!$E$2:$E$68)</f>
        <v>#N/A</v>
      </c>
      <c r="C144" s="343"/>
      <c r="D144" s="343"/>
      <c r="E144" s="343"/>
      <c r="F144" s="343"/>
      <c r="G144" s="341"/>
      <c r="H144" s="349"/>
      <c r="I144" s="343"/>
      <c r="J144" s="343"/>
      <c r="K144" s="342"/>
      <c r="L144" s="350"/>
      <c r="M144" s="351"/>
      <c r="N144" s="343"/>
      <c r="O144" s="354">
        <f t="shared" si="52"/>
      </c>
      <c r="P144" s="354">
        <f t="shared" si="53"/>
      </c>
      <c r="Q144" s="389"/>
      <c r="R144" s="376">
        <f t="shared" si="72"/>
      </c>
      <c r="S144" s="376">
        <f t="shared" si="73"/>
      </c>
      <c r="T144" s="352"/>
      <c r="U144" s="353"/>
      <c r="V144" s="352"/>
      <c r="W144" s="343"/>
      <c r="X144" s="388">
        <f t="shared" si="69"/>
      </c>
      <c r="Y144" s="375" t="e">
        <f t="shared" si="64"/>
        <v>#N/A</v>
      </c>
      <c r="Z144" s="375" t="e">
        <f t="shared" si="65"/>
        <v>#N/A</v>
      </c>
      <c r="AA144" s="375">
        <f t="shared" si="70"/>
      </c>
      <c r="AB144" s="377">
        <f t="shared" si="54"/>
        <v>1</v>
      </c>
      <c r="AC144" s="375" t="str">
        <f t="shared" si="55"/>
        <v> </v>
      </c>
      <c r="AD144" s="375" t="e">
        <f t="shared" si="56"/>
        <v>#N/A</v>
      </c>
      <c r="AE144" s="375" t="str">
        <f t="shared" si="57"/>
        <v> </v>
      </c>
      <c r="AF144" s="375" t="e">
        <f t="shared" si="66"/>
        <v>#N/A</v>
      </c>
      <c r="AG144" s="378" t="str">
        <f t="shared" si="58"/>
        <v> </v>
      </c>
      <c r="AH144" s="379" t="e">
        <f t="shared" si="59"/>
        <v>#VALUE!</v>
      </c>
      <c r="AI144" s="378" t="e">
        <f t="shared" si="60"/>
        <v>#VALUE!</v>
      </c>
      <c r="AJ144" s="375" t="e">
        <f t="shared" si="61"/>
        <v>#N/A</v>
      </c>
      <c r="AK144" s="375" t="e">
        <f>VLOOKUP(AJ144,'排出係数表'!$A$4:$C$202,2,FALSE)</f>
        <v>#N/A</v>
      </c>
      <c r="AL144" s="375" t="e">
        <f t="shared" si="67"/>
        <v>#N/A</v>
      </c>
      <c r="AM144" s="375" t="e">
        <f>VLOOKUP(AJ144,'排出係数表'!$A$4:$C$202,3,FALSE)</f>
        <v>#N/A</v>
      </c>
      <c r="AN144" s="375" t="e">
        <f t="shared" si="68"/>
        <v>#N/A</v>
      </c>
      <c r="AO144" s="375">
        <f t="shared" si="62"/>
      </c>
      <c r="AP144" s="379" t="str">
        <f t="shared" si="63"/>
        <v>-</v>
      </c>
      <c r="AQ144" s="375" t="e">
        <f t="shared" si="74"/>
        <v>#VALUE!</v>
      </c>
      <c r="AR144" s="375">
        <f t="shared" si="71"/>
      </c>
    </row>
    <row r="145" spans="1:44" s="380" customFormat="1" ht="13.5" customHeight="1">
      <c r="A145" s="375" t="str">
        <f>IF(ISBLANK(F145)=TRUE," ",IF(ISBLANK('様式2'!$C$23)=TRUE," ",'様式2'!$C$23))</f>
        <v> </v>
      </c>
      <c r="B145" s="375" t="e">
        <f>LOOKUP(LOOKUP(C145,'様式3'!$A$5:$A$44,'様式3'!$C$5:$C$44),'産業分類表'!$D$2:$D$68,'産業分類表'!$E$2:$E$68)</f>
        <v>#N/A</v>
      </c>
      <c r="C145" s="343"/>
      <c r="D145" s="343"/>
      <c r="E145" s="343"/>
      <c r="F145" s="343"/>
      <c r="G145" s="341"/>
      <c r="H145" s="349"/>
      <c r="I145" s="343"/>
      <c r="J145" s="343"/>
      <c r="K145" s="342"/>
      <c r="L145" s="350"/>
      <c r="M145" s="351"/>
      <c r="N145" s="343"/>
      <c r="O145" s="354">
        <f t="shared" si="52"/>
      </c>
      <c r="P145" s="354">
        <f t="shared" si="53"/>
      </c>
      <c r="Q145" s="389"/>
      <c r="R145" s="376">
        <f t="shared" si="72"/>
      </c>
      <c r="S145" s="376">
        <f t="shared" si="73"/>
      </c>
      <c r="T145" s="352"/>
      <c r="U145" s="353"/>
      <c r="V145" s="352"/>
      <c r="W145" s="343"/>
      <c r="X145" s="388">
        <f t="shared" si="69"/>
      </c>
      <c r="Y145" s="375" t="e">
        <f t="shared" si="64"/>
        <v>#N/A</v>
      </c>
      <c r="Z145" s="375" t="e">
        <f t="shared" si="65"/>
        <v>#N/A</v>
      </c>
      <c r="AA145" s="375">
        <f t="shared" si="70"/>
      </c>
      <c r="AB145" s="377">
        <f t="shared" si="54"/>
        <v>1</v>
      </c>
      <c r="AC145" s="375" t="str">
        <f t="shared" si="55"/>
        <v> </v>
      </c>
      <c r="AD145" s="375" t="e">
        <f t="shared" si="56"/>
        <v>#N/A</v>
      </c>
      <c r="AE145" s="375" t="str">
        <f t="shared" si="57"/>
        <v> </v>
      </c>
      <c r="AF145" s="375" t="e">
        <f t="shared" si="66"/>
        <v>#N/A</v>
      </c>
      <c r="AG145" s="378" t="str">
        <f t="shared" si="58"/>
        <v> </v>
      </c>
      <c r="AH145" s="379" t="e">
        <f t="shared" si="59"/>
        <v>#VALUE!</v>
      </c>
      <c r="AI145" s="378" t="e">
        <f t="shared" si="60"/>
        <v>#VALUE!</v>
      </c>
      <c r="AJ145" s="375" t="e">
        <f t="shared" si="61"/>
        <v>#N/A</v>
      </c>
      <c r="AK145" s="375" t="e">
        <f>VLOOKUP(AJ145,'排出係数表'!$A$4:$C$202,2,FALSE)</f>
        <v>#N/A</v>
      </c>
      <c r="AL145" s="375" t="e">
        <f t="shared" si="67"/>
        <v>#N/A</v>
      </c>
      <c r="AM145" s="375" t="e">
        <f>VLOOKUP(AJ145,'排出係数表'!$A$4:$C$202,3,FALSE)</f>
        <v>#N/A</v>
      </c>
      <c r="AN145" s="375" t="e">
        <f t="shared" si="68"/>
        <v>#N/A</v>
      </c>
      <c r="AO145" s="375">
        <f t="shared" si="62"/>
      </c>
      <c r="AP145" s="379" t="str">
        <f t="shared" si="63"/>
        <v>-</v>
      </c>
      <c r="AQ145" s="375" t="e">
        <f t="shared" si="74"/>
        <v>#VALUE!</v>
      </c>
      <c r="AR145" s="375">
        <f t="shared" si="71"/>
      </c>
    </row>
    <row r="146" spans="1:44" s="380" customFormat="1" ht="13.5" customHeight="1">
      <c r="A146" s="375" t="str">
        <f>IF(ISBLANK(F146)=TRUE," ",IF(ISBLANK('様式2'!$C$23)=TRUE," ",'様式2'!$C$23))</f>
        <v> </v>
      </c>
      <c r="B146" s="375" t="e">
        <f>LOOKUP(LOOKUP(C146,'様式3'!$A$5:$A$44,'様式3'!$C$5:$C$44),'産業分類表'!$D$2:$D$68,'産業分類表'!$E$2:$E$68)</f>
        <v>#N/A</v>
      </c>
      <c r="C146" s="343"/>
      <c r="D146" s="343"/>
      <c r="E146" s="343"/>
      <c r="F146" s="343"/>
      <c r="G146" s="341"/>
      <c r="H146" s="349"/>
      <c r="I146" s="343"/>
      <c r="J146" s="343"/>
      <c r="K146" s="342"/>
      <c r="L146" s="350"/>
      <c r="M146" s="351"/>
      <c r="N146" s="343"/>
      <c r="O146" s="354">
        <f t="shared" si="52"/>
      </c>
      <c r="P146" s="354">
        <f t="shared" si="53"/>
      </c>
      <c r="Q146" s="389"/>
      <c r="R146" s="376">
        <f t="shared" si="72"/>
      </c>
      <c r="S146" s="376">
        <f t="shared" si="73"/>
      </c>
      <c r="T146" s="352"/>
      <c r="U146" s="353"/>
      <c r="V146" s="352"/>
      <c r="W146" s="343"/>
      <c r="X146" s="388">
        <f t="shared" si="69"/>
      </c>
      <c r="Y146" s="375" t="e">
        <f t="shared" si="64"/>
        <v>#N/A</v>
      </c>
      <c r="Z146" s="375" t="e">
        <f t="shared" si="65"/>
        <v>#N/A</v>
      </c>
      <c r="AA146" s="375">
        <f t="shared" si="70"/>
      </c>
      <c r="AB146" s="377">
        <f t="shared" si="54"/>
        <v>1</v>
      </c>
      <c r="AC146" s="375" t="str">
        <f t="shared" si="55"/>
        <v> </v>
      </c>
      <c r="AD146" s="375" t="e">
        <f t="shared" si="56"/>
        <v>#N/A</v>
      </c>
      <c r="AE146" s="375" t="str">
        <f t="shared" si="57"/>
        <v> </v>
      </c>
      <c r="AF146" s="375" t="e">
        <f t="shared" si="66"/>
        <v>#N/A</v>
      </c>
      <c r="AG146" s="378" t="str">
        <f t="shared" si="58"/>
        <v> </v>
      </c>
      <c r="AH146" s="379" t="e">
        <f t="shared" si="59"/>
        <v>#VALUE!</v>
      </c>
      <c r="AI146" s="378" t="e">
        <f t="shared" si="60"/>
        <v>#VALUE!</v>
      </c>
      <c r="AJ146" s="375" t="e">
        <f t="shared" si="61"/>
        <v>#N/A</v>
      </c>
      <c r="AK146" s="375" t="e">
        <f>VLOOKUP(AJ146,'排出係数表'!$A$4:$C$202,2,FALSE)</f>
        <v>#N/A</v>
      </c>
      <c r="AL146" s="375" t="e">
        <f t="shared" si="67"/>
        <v>#N/A</v>
      </c>
      <c r="AM146" s="375" t="e">
        <f>VLOOKUP(AJ146,'排出係数表'!$A$4:$C$202,3,FALSE)</f>
        <v>#N/A</v>
      </c>
      <c r="AN146" s="375" t="e">
        <f t="shared" si="68"/>
        <v>#N/A</v>
      </c>
      <c r="AO146" s="375">
        <f t="shared" si="62"/>
      </c>
      <c r="AP146" s="379" t="str">
        <f t="shared" si="63"/>
        <v>-</v>
      </c>
      <c r="AQ146" s="375" t="e">
        <f t="shared" si="74"/>
        <v>#VALUE!</v>
      </c>
      <c r="AR146" s="375">
        <f t="shared" si="71"/>
      </c>
    </row>
    <row r="147" spans="1:44" s="380" customFormat="1" ht="13.5" customHeight="1">
      <c r="A147" s="375" t="str">
        <f>IF(ISBLANK(F147)=TRUE," ",IF(ISBLANK('様式2'!$C$23)=TRUE," ",'様式2'!$C$23))</f>
        <v> </v>
      </c>
      <c r="B147" s="375" t="e">
        <f>LOOKUP(LOOKUP(C147,'様式3'!$A$5:$A$44,'様式3'!$C$5:$C$44),'産業分類表'!$D$2:$D$68,'産業分類表'!$E$2:$E$68)</f>
        <v>#N/A</v>
      </c>
      <c r="C147" s="343"/>
      <c r="D147" s="343"/>
      <c r="E147" s="343"/>
      <c r="F147" s="343"/>
      <c r="G147" s="341"/>
      <c r="H147" s="349"/>
      <c r="I147" s="343"/>
      <c r="J147" s="343"/>
      <c r="K147" s="342"/>
      <c r="L147" s="350"/>
      <c r="M147" s="351"/>
      <c r="N147" s="343"/>
      <c r="O147" s="354">
        <f aca="true" t="shared" si="75" ref="O147:O210">IF(ISBLANK(J147)=TRUE,"",IF(AF147="メ","要確認",IF(ISBLANK(M147)=TRUE,IF(ISNUMBER(AK147*AL147)=TRUE,AK147*AL147,"要確認"),"要確認")))</f>
      </c>
      <c r="P147" s="354">
        <f aca="true" t="shared" si="76" ref="P147:P210">IF(ISBLANK(J147)=TRUE,"",IF(AF147="メ","要確認",IF(ISBLANK(N147)=TRUE,IF(ISNUMBER(AM147*AN147)=TRUE,AM147*AN147,"要確認"),"要確認")))</f>
      </c>
      <c r="Q147" s="389"/>
      <c r="R147" s="376">
        <f t="shared" si="72"/>
      </c>
      <c r="S147" s="376">
        <f t="shared" si="73"/>
      </c>
      <c r="T147" s="352"/>
      <c r="U147" s="353"/>
      <c r="V147" s="352"/>
      <c r="W147" s="343"/>
      <c r="X147" s="388">
        <f t="shared" si="69"/>
      </c>
      <c r="Y147" s="375" t="e">
        <f t="shared" si="64"/>
        <v>#N/A</v>
      </c>
      <c r="Z147" s="375" t="e">
        <f t="shared" si="65"/>
        <v>#N/A</v>
      </c>
      <c r="AA147" s="375">
        <f t="shared" si="70"/>
      </c>
      <c r="AB147" s="377">
        <f t="shared" si="54"/>
        <v>1</v>
      </c>
      <c r="AC147" s="375" t="str">
        <f t="shared" si="55"/>
        <v> </v>
      </c>
      <c r="AD147" s="375" t="e">
        <f t="shared" si="56"/>
        <v>#N/A</v>
      </c>
      <c r="AE147" s="375" t="str">
        <f t="shared" si="57"/>
        <v> </v>
      </c>
      <c r="AF147" s="375" t="e">
        <f t="shared" si="66"/>
        <v>#N/A</v>
      </c>
      <c r="AG147" s="378" t="str">
        <f t="shared" si="58"/>
        <v> </v>
      </c>
      <c r="AH147" s="379" t="e">
        <f t="shared" si="59"/>
        <v>#VALUE!</v>
      </c>
      <c r="AI147" s="378" t="e">
        <f t="shared" si="60"/>
        <v>#VALUE!</v>
      </c>
      <c r="AJ147" s="375" t="e">
        <f t="shared" si="61"/>
        <v>#N/A</v>
      </c>
      <c r="AK147" s="375" t="e">
        <f>VLOOKUP(AJ147,'排出係数表'!$A$4:$C$202,2,FALSE)</f>
        <v>#N/A</v>
      </c>
      <c r="AL147" s="375" t="e">
        <f t="shared" si="67"/>
        <v>#N/A</v>
      </c>
      <c r="AM147" s="375" t="e">
        <f>VLOOKUP(AJ147,'排出係数表'!$A$4:$C$202,3,FALSE)</f>
        <v>#N/A</v>
      </c>
      <c r="AN147" s="375" t="e">
        <f t="shared" si="68"/>
        <v>#N/A</v>
      </c>
      <c r="AO147" s="375">
        <f t="shared" si="62"/>
      </c>
      <c r="AP147" s="379" t="str">
        <f t="shared" si="63"/>
        <v>-</v>
      </c>
      <c r="AQ147" s="375" t="e">
        <f t="shared" si="74"/>
        <v>#VALUE!</v>
      </c>
      <c r="AR147" s="375">
        <f t="shared" si="71"/>
      </c>
    </row>
    <row r="148" spans="1:44" s="380" customFormat="1" ht="13.5" customHeight="1">
      <c r="A148" s="375" t="str">
        <f>IF(ISBLANK(F148)=TRUE," ",IF(ISBLANK('様式2'!$C$23)=TRUE," ",'様式2'!$C$23))</f>
        <v> </v>
      </c>
      <c r="B148" s="375" t="e">
        <f>LOOKUP(LOOKUP(C148,'様式3'!$A$5:$A$44,'様式3'!$C$5:$C$44),'産業分類表'!$D$2:$D$68,'産業分類表'!$E$2:$E$68)</f>
        <v>#N/A</v>
      </c>
      <c r="C148" s="343"/>
      <c r="D148" s="343"/>
      <c r="E148" s="343"/>
      <c r="F148" s="343"/>
      <c r="G148" s="341"/>
      <c r="H148" s="349"/>
      <c r="I148" s="343"/>
      <c r="J148" s="343"/>
      <c r="K148" s="342"/>
      <c r="L148" s="350"/>
      <c r="M148" s="351"/>
      <c r="N148" s="343"/>
      <c r="O148" s="354">
        <f t="shared" si="75"/>
      </c>
      <c r="P148" s="354">
        <f t="shared" si="76"/>
      </c>
      <c r="Q148" s="389"/>
      <c r="R148" s="376">
        <f t="shared" si="72"/>
      </c>
      <c r="S148" s="376">
        <f t="shared" si="73"/>
      </c>
      <c r="T148" s="352"/>
      <c r="U148" s="353"/>
      <c r="V148" s="352"/>
      <c r="W148" s="343"/>
      <c r="X148" s="388">
        <f t="shared" si="69"/>
      </c>
      <c r="Y148" s="375" t="e">
        <f t="shared" si="64"/>
        <v>#N/A</v>
      </c>
      <c r="Z148" s="375" t="e">
        <f t="shared" si="65"/>
        <v>#N/A</v>
      </c>
      <c r="AA148" s="375">
        <f t="shared" si="70"/>
      </c>
      <c r="AB148" s="377">
        <f t="shared" si="54"/>
        <v>1</v>
      </c>
      <c r="AC148" s="375" t="str">
        <f t="shared" si="55"/>
        <v> </v>
      </c>
      <c r="AD148" s="375" t="e">
        <f t="shared" si="56"/>
        <v>#N/A</v>
      </c>
      <c r="AE148" s="375" t="str">
        <f t="shared" si="57"/>
        <v> </v>
      </c>
      <c r="AF148" s="375" t="e">
        <f t="shared" si="66"/>
        <v>#N/A</v>
      </c>
      <c r="AG148" s="378" t="str">
        <f t="shared" si="58"/>
        <v> </v>
      </c>
      <c r="AH148" s="379" t="e">
        <f t="shared" si="59"/>
        <v>#VALUE!</v>
      </c>
      <c r="AI148" s="378" t="e">
        <f t="shared" si="60"/>
        <v>#VALUE!</v>
      </c>
      <c r="AJ148" s="375" t="e">
        <f t="shared" si="61"/>
        <v>#N/A</v>
      </c>
      <c r="AK148" s="375" t="e">
        <f>VLOOKUP(AJ148,'排出係数表'!$A$4:$C$202,2,FALSE)</f>
        <v>#N/A</v>
      </c>
      <c r="AL148" s="375" t="e">
        <f t="shared" si="67"/>
        <v>#N/A</v>
      </c>
      <c r="AM148" s="375" t="e">
        <f>VLOOKUP(AJ148,'排出係数表'!$A$4:$C$202,3,FALSE)</f>
        <v>#N/A</v>
      </c>
      <c r="AN148" s="375" t="e">
        <f t="shared" si="68"/>
        <v>#N/A</v>
      </c>
      <c r="AO148" s="375">
        <f t="shared" si="62"/>
      </c>
      <c r="AP148" s="379" t="str">
        <f t="shared" si="63"/>
        <v>-</v>
      </c>
      <c r="AQ148" s="375" t="e">
        <f t="shared" si="74"/>
        <v>#VALUE!</v>
      </c>
      <c r="AR148" s="375">
        <f t="shared" si="71"/>
      </c>
    </row>
    <row r="149" spans="1:44" s="380" customFormat="1" ht="13.5" customHeight="1">
      <c r="A149" s="375" t="str">
        <f>IF(ISBLANK(F149)=TRUE," ",IF(ISBLANK('様式2'!$C$23)=TRUE," ",'様式2'!$C$23))</f>
        <v> </v>
      </c>
      <c r="B149" s="375" t="e">
        <f>LOOKUP(LOOKUP(C149,'様式3'!$A$5:$A$44,'様式3'!$C$5:$C$44),'産業分類表'!$D$2:$D$68,'産業分類表'!$E$2:$E$68)</f>
        <v>#N/A</v>
      </c>
      <c r="C149" s="343"/>
      <c r="D149" s="343"/>
      <c r="E149" s="343"/>
      <c r="F149" s="343"/>
      <c r="G149" s="341"/>
      <c r="H149" s="349"/>
      <c r="I149" s="343"/>
      <c r="J149" s="343"/>
      <c r="K149" s="342"/>
      <c r="L149" s="350"/>
      <c r="M149" s="351"/>
      <c r="N149" s="343"/>
      <c r="O149" s="354">
        <f t="shared" si="75"/>
      </c>
      <c r="P149" s="354">
        <f t="shared" si="76"/>
      </c>
      <c r="Q149" s="389"/>
      <c r="R149" s="376">
        <f t="shared" si="72"/>
      </c>
      <c r="S149" s="376">
        <f t="shared" si="73"/>
      </c>
      <c r="T149" s="352"/>
      <c r="U149" s="353"/>
      <c r="V149" s="352"/>
      <c r="W149" s="343"/>
      <c r="X149" s="388">
        <f t="shared" si="69"/>
      </c>
      <c r="Y149" s="375" t="e">
        <f t="shared" si="64"/>
        <v>#N/A</v>
      </c>
      <c r="Z149" s="375" t="e">
        <f t="shared" si="65"/>
        <v>#N/A</v>
      </c>
      <c r="AA149" s="375">
        <f t="shared" si="70"/>
      </c>
      <c r="AB149" s="377">
        <f t="shared" si="54"/>
        <v>1</v>
      </c>
      <c r="AC149" s="375" t="str">
        <f t="shared" si="55"/>
        <v> </v>
      </c>
      <c r="AD149" s="375" t="e">
        <f t="shared" si="56"/>
        <v>#N/A</v>
      </c>
      <c r="AE149" s="375" t="str">
        <f t="shared" si="57"/>
        <v> </v>
      </c>
      <c r="AF149" s="375" t="e">
        <f t="shared" si="66"/>
        <v>#N/A</v>
      </c>
      <c r="AG149" s="378" t="str">
        <f t="shared" si="58"/>
        <v> </v>
      </c>
      <c r="AH149" s="379" t="e">
        <f t="shared" si="59"/>
        <v>#VALUE!</v>
      </c>
      <c r="AI149" s="378" t="e">
        <f t="shared" si="60"/>
        <v>#VALUE!</v>
      </c>
      <c r="AJ149" s="375" t="e">
        <f t="shared" si="61"/>
        <v>#N/A</v>
      </c>
      <c r="AK149" s="375" t="e">
        <f>VLOOKUP(AJ149,'排出係数表'!$A$4:$C$202,2,FALSE)</f>
        <v>#N/A</v>
      </c>
      <c r="AL149" s="375" t="e">
        <f t="shared" si="67"/>
        <v>#N/A</v>
      </c>
      <c r="AM149" s="375" t="e">
        <f>VLOOKUP(AJ149,'排出係数表'!$A$4:$C$202,3,FALSE)</f>
        <v>#N/A</v>
      </c>
      <c r="AN149" s="375" t="e">
        <f t="shared" si="68"/>
        <v>#N/A</v>
      </c>
      <c r="AO149" s="375">
        <f t="shared" si="62"/>
      </c>
      <c r="AP149" s="379" t="str">
        <f t="shared" si="63"/>
        <v>-</v>
      </c>
      <c r="AQ149" s="375" t="e">
        <f t="shared" si="74"/>
        <v>#VALUE!</v>
      </c>
      <c r="AR149" s="375">
        <f t="shared" si="71"/>
      </c>
    </row>
    <row r="150" spans="1:44" s="380" customFormat="1" ht="13.5" customHeight="1">
      <c r="A150" s="375" t="str">
        <f>IF(ISBLANK(F150)=TRUE," ",IF(ISBLANK('様式2'!$C$23)=TRUE," ",'様式2'!$C$23))</f>
        <v> </v>
      </c>
      <c r="B150" s="375" t="e">
        <f>LOOKUP(LOOKUP(C150,'様式3'!$A$5:$A$44,'様式3'!$C$5:$C$44),'産業分類表'!$D$2:$D$68,'産業分類表'!$E$2:$E$68)</f>
        <v>#N/A</v>
      </c>
      <c r="C150" s="343"/>
      <c r="D150" s="343"/>
      <c r="E150" s="343"/>
      <c r="F150" s="343"/>
      <c r="G150" s="341"/>
      <c r="H150" s="349"/>
      <c r="I150" s="343"/>
      <c r="J150" s="343"/>
      <c r="K150" s="342"/>
      <c r="L150" s="350"/>
      <c r="M150" s="351"/>
      <c r="N150" s="343"/>
      <c r="O150" s="354">
        <f t="shared" si="75"/>
      </c>
      <c r="P150" s="354">
        <f t="shared" si="76"/>
      </c>
      <c r="Q150" s="389"/>
      <c r="R150" s="376">
        <f t="shared" si="72"/>
      </c>
      <c r="S150" s="376">
        <f t="shared" si="73"/>
      </c>
      <c r="T150" s="352"/>
      <c r="U150" s="353"/>
      <c r="V150" s="352"/>
      <c r="W150" s="343"/>
      <c r="X150" s="388">
        <f t="shared" si="69"/>
      </c>
      <c r="Y150" s="375" t="e">
        <f t="shared" si="64"/>
        <v>#N/A</v>
      </c>
      <c r="Z150" s="375" t="e">
        <f t="shared" si="65"/>
        <v>#N/A</v>
      </c>
      <c r="AA150" s="375">
        <f t="shared" si="70"/>
      </c>
      <c r="AB150" s="377">
        <f t="shared" si="54"/>
        <v>1</v>
      </c>
      <c r="AC150" s="375" t="str">
        <f t="shared" si="55"/>
        <v> </v>
      </c>
      <c r="AD150" s="375" t="e">
        <f t="shared" si="56"/>
        <v>#N/A</v>
      </c>
      <c r="AE150" s="375" t="str">
        <f t="shared" si="57"/>
        <v> </v>
      </c>
      <c r="AF150" s="375" t="e">
        <f t="shared" si="66"/>
        <v>#N/A</v>
      </c>
      <c r="AG150" s="378" t="str">
        <f t="shared" si="58"/>
        <v> </v>
      </c>
      <c r="AH150" s="379" t="e">
        <f t="shared" si="59"/>
        <v>#VALUE!</v>
      </c>
      <c r="AI150" s="378" t="e">
        <f t="shared" si="60"/>
        <v>#VALUE!</v>
      </c>
      <c r="AJ150" s="375" t="e">
        <f t="shared" si="61"/>
        <v>#N/A</v>
      </c>
      <c r="AK150" s="375" t="e">
        <f>VLOOKUP(AJ150,'排出係数表'!$A$4:$C$202,2,FALSE)</f>
        <v>#N/A</v>
      </c>
      <c r="AL150" s="375" t="e">
        <f t="shared" si="67"/>
        <v>#N/A</v>
      </c>
      <c r="AM150" s="375" t="e">
        <f>VLOOKUP(AJ150,'排出係数表'!$A$4:$C$202,3,FALSE)</f>
        <v>#N/A</v>
      </c>
      <c r="AN150" s="375" t="e">
        <f t="shared" si="68"/>
        <v>#N/A</v>
      </c>
      <c r="AO150" s="375">
        <f t="shared" si="62"/>
      </c>
      <c r="AP150" s="379" t="str">
        <f t="shared" si="63"/>
        <v>-</v>
      </c>
      <c r="AQ150" s="375" t="e">
        <f t="shared" si="74"/>
        <v>#VALUE!</v>
      </c>
      <c r="AR150" s="375">
        <f t="shared" si="71"/>
      </c>
    </row>
    <row r="151" spans="1:44" s="380" customFormat="1" ht="13.5" customHeight="1">
      <c r="A151" s="375" t="str">
        <f>IF(ISBLANK(F151)=TRUE," ",IF(ISBLANK('様式2'!$C$23)=TRUE," ",'様式2'!$C$23))</f>
        <v> </v>
      </c>
      <c r="B151" s="375" t="e">
        <f>LOOKUP(LOOKUP(C151,'様式3'!$A$5:$A$44,'様式3'!$C$5:$C$44),'産業分類表'!$D$2:$D$68,'産業分類表'!$E$2:$E$68)</f>
        <v>#N/A</v>
      </c>
      <c r="C151" s="343"/>
      <c r="D151" s="343"/>
      <c r="E151" s="343"/>
      <c r="F151" s="343"/>
      <c r="G151" s="341"/>
      <c r="H151" s="349"/>
      <c r="I151" s="343"/>
      <c r="J151" s="343"/>
      <c r="K151" s="342"/>
      <c r="L151" s="350"/>
      <c r="M151" s="351"/>
      <c r="N151" s="343"/>
      <c r="O151" s="354">
        <f t="shared" si="75"/>
      </c>
      <c r="P151" s="354">
        <f t="shared" si="76"/>
      </c>
      <c r="Q151" s="389"/>
      <c r="R151" s="376">
        <f t="shared" si="72"/>
      </c>
      <c r="S151" s="376">
        <f t="shared" si="73"/>
      </c>
      <c r="T151" s="352"/>
      <c r="U151" s="353"/>
      <c r="V151" s="352"/>
      <c r="W151" s="343"/>
      <c r="X151" s="388">
        <f t="shared" si="69"/>
      </c>
      <c r="Y151" s="375" t="e">
        <f t="shared" si="64"/>
        <v>#N/A</v>
      </c>
      <c r="Z151" s="375" t="e">
        <f t="shared" si="65"/>
        <v>#N/A</v>
      </c>
      <c r="AA151" s="375">
        <f t="shared" si="70"/>
      </c>
      <c r="AB151" s="377">
        <f t="shared" si="54"/>
        <v>1</v>
      </c>
      <c r="AC151" s="375" t="str">
        <f t="shared" si="55"/>
        <v> </v>
      </c>
      <c r="AD151" s="375" t="e">
        <f t="shared" si="56"/>
        <v>#N/A</v>
      </c>
      <c r="AE151" s="375" t="str">
        <f t="shared" si="57"/>
        <v> </v>
      </c>
      <c r="AF151" s="375" t="e">
        <f t="shared" si="66"/>
        <v>#N/A</v>
      </c>
      <c r="AG151" s="378" t="str">
        <f t="shared" si="58"/>
        <v> </v>
      </c>
      <c r="AH151" s="379" t="e">
        <f t="shared" si="59"/>
        <v>#VALUE!</v>
      </c>
      <c r="AI151" s="378" t="e">
        <f t="shared" si="60"/>
        <v>#VALUE!</v>
      </c>
      <c r="AJ151" s="375" t="e">
        <f t="shared" si="61"/>
        <v>#N/A</v>
      </c>
      <c r="AK151" s="375" t="e">
        <f>VLOOKUP(AJ151,'排出係数表'!$A$4:$C$202,2,FALSE)</f>
        <v>#N/A</v>
      </c>
      <c r="AL151" s="375" t="e">
        <f t="shared" si="67"/>
        <v>#N/A</v>
      </c>
      <c r="AM151" s="375" t="e">
        <f>VLOOKUP(AJ151,'排出係数表'!$A$4:$C$202,3,FALSE)</f>
        <v>#N/A</v>
      </c>
      <c r="AN151" s="375" t="e">
        <f t="shared" si="68"/>
        <v>#N/A</v>
      </c>
      <c r="AO151" s="375">
        <f t="shared" si="62"/>
      </c>
      <c r="AP151" s="379" t="str">
        <f t="shared" si="63"/>
        <v>-</v>
      </c>
      <c r="AQ151" s="375" t="e">
        <f t="shared" si="74"/>
        <v>#VALUE!</v>
      </c>
      <c r="AR151" s="375">
        <f t="shared" si="71"/>
      </c>
    </row>
    <row r="152" spans="1:44" s="380" customFormat="1" ht="13.5" customHeight="1">
      <c r="A152" s="375" t="str">
        <f>IF(ISBLANK(F152)=TRUE," ",IF(ISBLANK('様式2'!$C$23)=TRUE," ",'様式2'!$C$23))</f>
        <v> </v>
      </c>
      <c r="B152" s="375" t="e">
        <f>LOOKUP(LOOKUP(C152,'様式3'!$A$5:$A$44,'様式3'!$C$5:$C$44),'産業分類表'!$D$2:$D$68,'産業分類表'!$E$2:$E$68)</f>
        <v>#N/A</v>
      </c>
      <c r="C152" s="343"/>
      <c r="D152" s="343"/>
      <c r="E152" s="343"/>
      <c r="F152" s="343"/>
      <c r="G152" s="341"/>
      <c r="H152" s="349"/>
      <c r="I152" s="343"/>
      <c r="J152" s="343"/>
      <c r="K152" s="342"/>
      <c r="L152" s="350"/>
      <c r="M152" s="351"/>
      <c r="N152" s="343"/>
      <c r="O152" s="354">
        <f t="shared" si="75"/>
      </c>
      <c r="P152" s="354">
        <f t="shared" si="76"/>
      </c>
      <c r="Q152" s="389"/>
      <c r="R152" s="376">
        <f t="shared" si="72"/>
      </c>
      <c r="S152" s="376">
        <f t="shared" si="73"/>
      </c>
      <c r="T152" s="352"/>
      <c r="U152" s="353"/>
      <c r="V152" s="352"/>
      <c r="W152" s="343"/>
      <c r="X152" s="388">
        <f t="shared" si="69"/>
      </c>
      <c r="Y152" s="375" t="e">
        <f t="shared" si="64"/>
        <v>#N/A</v>
      </c>
      <c r="Z152" s="375" t="e">
        <f t="shared" si="65"/>
        <v>#N/A</v>
      </c>
      <c r="AA152" s="375">
        <f t="shared" si="70"/>
      </c>
      <c r="AB152" s="377">
        <f t="shared" si="54"/>
        <v>1</v>
      </c>
      <c r="AC152" s="375" t="str">
        <f t="shared" si="55"/>
        <v> </v>
      </c>
      <c r="AD152" s="375" t="e">
        <f t="shared" si="56"/>
        <v>#N/A</v>
      </c>
      <c r="AE152" s="375" t="str">
        <f t="shared" si="57"/>
        <v> </v>
      </c>
      <c r="AF152" s="375" t="e">
        <f t="shared" si="66"/>
        <v>#N/A</v>
      </c>
      <c r="AG152" s="378" t="str">
        <f t="shared" si="58"/>
        <v> </v>
      </c>
      <c r="AH152" s="379" t="e">
        <f t="shared" si="59"/>
        <v>#VALUE!</v>
      </c>
      <c r="AI152" s="378" t="e">
        <f t="shared" si="60"/>
        <v>#VALUE!</v>
      </c>
      <c r="AJ152" s="375" t="e">
        <f t="shared" si="61"/>
        <v>#N/A</v>
      </c>
      <c r="AK152" s="375" t="e">
        <f>VLOOKUP(AJ152,'排出係数表'!$A$4:$C$202,2,FALSE)</f>
        <v>#N/A</v>
      </c>
      <c r="AL152" s="375" t="e">
        <f t="shared" si="67"/>
        <v>#N/A</v>
      </c>
      <c r="AM152" s="375" t="e">
        <f>VLOOKUP(AJ152,'排出係数表'!$A$4:$C$202,3,FALSE)</f>
        <v>#N/A</v>
      </c>
      <c r="AN152" s="375" t="e">
        <f t="shared" si="68"/>
        <v>#N/A</v>
      </c>
      <c r="AO152" s="375">
        <f t="shared" si="62"/>
      </c>
      <c r="AP152" s="379" t="str">
        <f t="shared" si="63"/>
        <v>-</v>
      </c>
      <c r="AQ152" s="375" t="e">
        <f t="shared" si="74"/>
        <v>#VALUE!</v>
      </c>
      <c r="AR152" s="375">
        <f t="shared" si="71"/>
      </c>
    </row>
    <row r="153" spans="1:44" s="380" customFormat="1" ht="13.5" customHeight="1">
      <c r="A153" s="375" t="str">
        <f>IF(ISBLANK(F153)=TRUE," ",IF(ISBLANK('様式2'!$C$23)=TRUE," ",'様式2'!$C$23))</f>
        <v> </v>
      </c>
      <c r="B153" s="375" t="e">
        <f>LOOKUP(LOOKUP(C153,'様式3'!$A$5:$A$44,'様式3'!$C$5:$C$44),'産業分類表'!$D$2:$D$68,'産業分類表'!$E$2:$E$68)</f>
        <v>#N/A</v>
      </c>
      <c r="C153" s="343"/>
      <c r="D153" s="343"/>
      <c r="E153" s="343"/>
      <c r="F153" s="343"/>
      <c r="G153" s="341"/>
      <c r="H153" s="349"/>
      <c r="I153" s="343"/>
      <c r="J153" s="343"/>
      <c r="K153" s="342"/>
      <c r="L153" s="350"/>
      <c r="M153" s="351"/>
      <c r="N153" s="343"/>
      <c r="O153" s="354">
        <f t="shared" si="75"/>
      </c>
      <c r="P153" s="354">
        <f t="shared" si="76"/>
      </c>
      <c r="Q153" s="389"/>
      <c r="R153" s="376">
        <f t="shared" si="72"/>
      </c>
      <c r="S153" s="376">
        <f t="shared" si="73"/>
      </c>
      <c r="T153" s="352"/>
      <c r="U153" s="353"/>
      <c r="V153" s="352"/>
      <c r="W153" s="343"/>
      <c r="X153" s="388">
        <f t="shared" si="69"/>
      </c>
      <c r="Y153" s="375" t="e">
        <f t="shared" si="64"/>
        <v>#N/A</v>
      </c>
      <c r="Z153" s="375" t="e">
        <f t="shared" si="65"/>
        <v>#N/A</v>
      </c>
      <c r="AA153" s="375">
        <f t="shared" si="70"/>
      </c>
      <c r="AB153" s="377">
        <f t="shared" si="54"/>
        <v>1</v>
      </c>
      <c r="AC153" s="375" t="str">
        <f t="shared" si="55"/>
        <v> </v>
      </c>
      <c r="AD153" s="375" t="e">
        <f t="shared" si="56"/>
        <v>#N/A</v>
      </c>
      <c r="AE153" s="375" t="str">
        <f t="shared" si="57"/>
        <v> </v>
      </c>
      <c r="AF153" s="375" t="e">
        <f t="shared" si="66"/>
        <v>#N/A</v>
      </c>
      <c r="AG153" s="378" t="str">
        <f t="shared" si="58"/>
        <v> </v>
      </c>
      <c r="AH153" s="379" t="e">
        <f t="shared" si="59"/>
        <v>#VALUE!</v>
      </c>
      <c r="AI153" s="378" t="e">
        <f t="shared" si="60"/>
        <v>#VALUE!</v>
      </c>
      <c r="AJ153" s="375" t="e">
        <f t="shared" si="61"/>
        <v>#N/A</v>
      </c>
      <c r="AK153" s="375" t="e">
        <f>VLOOKUP(AJ153,'排出係数表'!$A$4:$C$202,2,FALSE)</f>
        <v>#N/A</v>
      </c>
      <c r="AL153" s="375" t="e">
        <f t="shared" si="67"/>
        <v>#N/A</v>
      </c>
      <c r="AM153" s="375" t="e">
        <f>VLOOKUP(AJ153,'排出係数表'!$A$4:$C$202,3,FALSE)</f>
        <v>#N/A</v>
      </c>
      <c r="AN153" s="375" t="e">
        <f t="shared" si="68"/>
        <v>#N/A</v>
      </c>
      <c r="AO153" s="375">
        <f t="shared" si="62"/>
      </c>
      <c r="AP153" s="379" t="str">
        <f t="shared" si="63"/>
        <v>-</v>
      </c>
      <c r="AQ153" s="375" t="e">
        <f t="shared" si="74"/>
        <v>#VALUE!</v>
      </c>
      <c r="AR153" s="375">
        <f t="shared" si="71"/>
      </c>
    </row>
    <row r="154" spans="1:44" s="380" customFormat="1" ht="13.5" customHeight="1">
      <c r="A154" s="375" t="str">
        <f>IF(ISBLANK(F154)=TRUE," ",IF(ISBLANK('様式2'!$C$23)=TRUE," ",'様式2'!$C$23))</f>
        <v> </v>
      </c>
      <c r="B154" s="375" t="e">
        <f>LOOKUP(LOOKUP(C154,'様式3'!$A$5:$A$44,'様式3'!$C$5:$C$44),'産業分類表'!$D$2:$D$68,'産業分類表'!$E$2:$E$68)</f>
        <v>#N/A</v>
      </c>
      <c r="C154" s="343"/>
      <c r="D154" s="343"/>
      <c r="E154" s="343"/>
      <c r="F154" s="343"/>
      <c r="G154" s="341"/>
      <c r="H154" s="349"/>
      <c r="I154" s="343"/>
      <c r="J154" s="343"/>
      <c r="K154" s="342"/>
      <c r="L154" s="350"/>
      <c r="M154" s="351"/>
      <c r="N154" s="343"/>
      <c r="O154" s="354">
        <f t="shared" si="75"/>
      </c>
      <c r="P154" s="354">
        <f t="shared" si="76"/>
      </c>
      <c r="Q154" s="389"/>
      <c r="R154" s="376">
        <f t="shared" si="72"/>
      </c>
      <c r="S154" s="376">
        <f t="shared" si="73"/>
      </c>
      <c r="T154" s="352"/>
      <c r="U154" s="353"/>
      <c r="V154" s="352"/>
      <c r="W154" s="343"/>
      <c r="X154" s="388">
        <f t="shared" si="69"/>
      </c>
      <c r="Y154" s="375" t="e">
        <f t="shared" si="64"/>
        <v>#N/A</v>
      </c>
      <c r="Z154" s="375" t="e">
        <f t="shared" si="65"/>
        <v>#N/A</v>
      </c>
      <c r="AA154" s="375">
        <f t="shared" si="70"/>
      </c>
      <c r="AB154" s="377">
        <f t="shared" si="54"/>
        <v>1</v>
      </c>
      <c r="AC154" s="375" t="str">
        <f t="shared" si="55"/>
        <v> </v>
      </c>
      <c r="AD154" s="375" t="e">
        <f t="shared" si="56"/>
        <v>#N/A</v>
      </c>
      <c r="AE154" s="375" t="str">
        <f t="shared" si="57"/>
        <v> </v>
      </c>
      <c r="AF154" s="375" t="e">
        <f t="shared" si="66"/>
        <v>#N/A</v>
      </c>
      <c r="AG154" s="378" t="str">
        <f t="shared" si="58"/>
        <v> </v>
      </c>
      <c r="AH154" s="379" t="e">
        <f t="shared" si="59"/>
        <v>#VALUE!</v>
      </c>
      <c r="AI154" s="378" t="e">
        <f t="shared" si="60"/>
        <v>#VALUE!</v>
      </c>
      <c r="AJ154" s="375" t="e">
        <f t="shared" si="61"/>
        <v>#N/A</v>
      </c>
      <c r="AK154" s="375" t="e">
        <f>VLOOKUP(AJ154,'排出係数表'!$A$4:$C$202,2,FALSE)</f>
        <v>#N/A</v>
      </c>
      <c r="AL154" s="375" t="e">
        <f t="shared" si="67"/>
        <v>#N/A</v>
      </c>
      <c r="AM154" s="375" t="e">
        <f>VLOOKUP(AJ154,'排出係数表'!$A$4:$C$202,3,FALSE)</f>
        <v>#N/A</v>
      </c>
      <c r="AN154" s="375" t="e">
        <f t="shared" si="68"/>
        <v>#N/A</v>
      </c>
      <c r="AO154" s="375">
        <f t="shared" si="62"/>
      </c>
      <c r="AP154" s="379" t="str">
        <f t="shared" si="63"/>
        <v>-</v>
      </c>
      <c r="AQ154" s="375" t="e">
        <f t="shared" si="74"/>
        <v>#VALUE!</v>
      </c>
      <c r="AR154" s="375">
        <f t="shared" si="71"/>
      </c>
    </row>
    <row r="155" spans="1:44" s="380" customFormat="1" ht="13.5" customHeight="1">
      <c r="A155" s="375" t="str">
        <f>IF(ISBLANK(F155)=TRUE," ",IF(ISBLANK('様式2'!$C$23)=TRUE," ",'様式2'!$C$23))</f>
        <v> </v>
      </c>
      <c r="B155" s="375" t="e">
        <f>LOOKUP(LOOKUP(C155,'様式3'!$A$5:$A$44,'様式3'!$C$5:$C$44),'産業分類表'!$D$2:$D$68,'産業分類表'!$E$2:$E$68)</f>
        <v>#N/A</v>
      </c>
      <c r="C155" s="343"/>
      <c r="D155" s="343"/>
      <c r="E155" s="343"/>
      <c r="F155" s="343"/>
      <c r="G155" s="341"/>
      <c r="H155" s="349"/>
      <c r="I155" s="343"/>
      <c r="J155" s="343"/>
      <c r="K155" s="342"/>
      <c r="L155" s="350"/>
      <c r="M155" s="351"/>
      <c r="N155" s="343"/>
      <c r="O155" s="354">
        <f t="shared" si="75"/>
      </c>
      <c r="P155" s="354">
        <f t="shared" si="76"/>
      </c>
      <c r="Q155" s="389"/>
      <c r="R155" s="376">
        <f t="shared" si="72"/>
      </c>
      <c r="S155" s="376">
        <f t="shared" si="73"/>
      </c>
      <c r="T155" s="352"/>
      <c r="U155" s="353"/>
      <c r="V155" s="352"/>
      <c r="W155" s="343"/>
      <c r="X155" s="388">
        <f t="shared" si="69"/>
      </c>
      <c r="Y155" s="375" t="e">
        <f t="shared" si="64"/>
        <v>#N/A</v>
      </c>
      <c r="Z155" s="375" t="e">
        <f t="shared" si="65"/>
        <v>#N/A</v>
      </c>
      <c r="AA155" s="375">
        <f t="shared" si="70"/>
      </c>
      <c r="AB155" s="377">
        <f t="shared" si="54"/>
        <v>1</v>
      </c>
      <c r="AC155" s="375" t="str">
        <f t="shared" si="55"/>
        <v> </v>
      </c>
      <c r="AD155" s="375" t="e">
        <f t="shared" si="56"/>
        <v>#N/A</v>
      </c>
      <c r="AE155" s="375" t="str">
        <f t="shared" si="57"/>
        <v> </v>
      </c>
      <c r="AF155" s="375" t="e">
        <f t="shared" si="66"/>
        <v>#N/A</v>
      </c>
      <c r="AG155" s="378" t="str">
        <f t="shared" si="58"/>
        <v> </v>
      </c>
      <c r="AH155" s="379" t="e">
        <f t="shared" si="59"/>
        <v>#VALUE!</v>
      </c>
      <c r="AI155" s="378" t="e">
        <f t="shared" si="60"/>
        <v>#VALUE!</v>
      </c>
      <c r="AJ155" s="375" t="e">
        <f t="shared" si="61"/>
        <v>#N/A</v>
      </c>
      <c r="AK155" s="375" t="e">
        <f>VLOOKUP(AJ155,'排出係数表'!$A$4:$C$202,2,FALSE)</f>
        <v>#N/A</v>
      </c>
      <c r="AL155" s="375" t="e">
        <f t="shared" si="67"/>
        <v>#N/A</v>
      </c>
      <c r="AM155" s="375" t="e">
        <f>VLOOKUP(AJ155,'排出係数表'!$A$4:$C$202,3,FALSE)</f>
        <v>#N/A</v>
      </c>
      <c r="AN155" s="375" t="e">
        <f t="shared" si="68"/>
        <v>#N/A</v>
      </c>
      <c r="AO155" s="375">
        <f t="shared" si="62"/>
      </c>
      <c r="AP155" s="379" t="str">
        <f t="shared" si="63"/>
        <v>-</v>
      </c>
      <c r="AQ155" s="375" t="e">
        <f t="shared" si="74"/>
        <v>#VALUE!</v>
      </c>
      <c r="AR155" s="375">
        <f t="shared" si="71"/>
      </c>
    </row>
    <row r="156" spans="1:44" s="380" customFormat="1" ht="13.5" customHeight="1">
      <c r="A156" s="375" t="str">
        <f>IF(ISBLANK(F156)=TRUE," ",IF(ISBLANK('様式2'!$C$23)=TRUE," ",'様式2'!$C$23))</f>
        <v> </v>
      </c>
      <c r="B156" s="375" t="e">
        <f>LOOKUP(LOOKUP(C156,'様式3'!$A$5:$A$44,'様式3'!$C$5:$C$44),'産業分類表'!$D$2:$D$68,'産業分類表'!$E$2:$E$68)</f>
        <v>#N/A</v>
      </c>
      <c r="C156" s="343"/>
      <c r="D156" s="343"/>
      <c r="E156" s="343"/>
      <c r="F156" s="343"/>
      <c r="G156" s="341"/>
      <c r="H156" s="349"/>
      <c r="I156" s="343"/>
      <c r="J156" s="343"/>
      <c r="K156" s="342"/>
      <c r="L156" s="350"/>
      <c r="M156" s="351"/>
      <c r="N156" s="343"/>
      <c r="O156" s="354">
        <f t="shared" si="75"/>
      </c>
      <c r="P156" s="354">
        <f t="shared" si="76"/>
      </c>
      <c r="Q156" s="389"/>
      <c r="R156" s="376">
        <f t="shared" si="72"/>
      </c>
      <c r="S156" s="376">
        <f t="shared" si="73"/>
      </c>
      <c r="T156" s="352"/>
      <c r="U156" s="353"/>
      <c r="V156" s="352"/>
      <c r="W156" s="343"/>
      <c r="X156" s="388">
        <f t="shared" si="69"/>
      </c>
      <c r="Y156" s="375" t="e">
        <f t="shared" si="64"/>
        <v>#N/A</v>
      </c>
      <c r="Z156" s="375" t="e">
        <f t="shared" si="65"/>
        <v>#N/A</v>
      </c>
      <c r="AA156" s="375">
        <f t="shared" si="70"/>
      </c>
      <c r="AB156" s="377">
        <f t="shared" si="54"/>
        <v>1</v>
      </c>
      <c r="AC156" s="375" t="str">
        <f t="shared" si="55"/>
        <v> </v>
      </c>
      <c r="AD156" s="375" t="e">
        <f t="shared" si="56"/>
        <v>#N/A</v>
      </c>
      <c r="AE156" s="375" t="str">
        <f t="shared" si="57"/>
        <v> </v>
      </c>
      <c r="AF156" s="375" t="e">
        <f t="shared" si="66"/>
        <v>#N/A</v>
      </c>
      <c r="AG156" s="378" t="str">
        <f t="shared" si="58"/>
        <v> </v>
      </c>
      <c r="AH156" s="379" t="e">
        <f t="shared" si="59"/>
        <v>#VALUE!</v>
      </c>
      <c r="AI156" s="378" t="e">
        <f t="shared" si="60"/>
        <v>#VALUE!</v>
      </c>
      <c r="AJ156" s="375" t="e">
        <f t="shared" si="61"/>
        <v>#N/A</v>
      </c>
      <c r="AK156" s="375" t="e">
        <f>VLOOKUP(AJ156,'排出係数表'!$A$4:$C$202,2,FALSE)</f>
        <v>#N/A</v>
      </c>
      <c r="AL156" s="375" t="e">
        <f t="shared" si="67"/>
        <v>#N/A</v>
      </c>
      <c r="AM156" s="375" t="e">
        <f>VLOOKUP(AJ156,'排出係数表'!$A$4:$C$202,3,FALSE)</f>
        <v>#N/A</v>
      </c>
      <c r="AN156" s="375" t="e">
        <f t="shared" si="68"/>
        <v>#N/A</v>
      </c>
      <c r="AO156" s="375">
        <f t="shared" si="62"/>
      </c>
      <c r="AP156" s="379" t="str">
        <f t="shared" si="63"/>
        <v>-</v>
      </c>
      <c r="AQ156" s="375" t="e">
        <f t="shared" si="74"/>
        <v>#VALUE!</v>
      </c>
      <c r="AR156" s="375">
        <f t="shared" si="71"/>
      </c>
    </row>
    <row r="157" spans="1:44" s="380" customFormat="1" ht="13.5" customHeight="1">
      <c r="A157" s="375" t="str">
        <f>IF(ISBLANK(F157)=TRUE," ",IF(ISBLANK('様式2'!$C$23)=TRUE," ",'様式2'!$C$23))</f>
        <v> </v>
      </c>
      <c r="B157" s="375" t="e">
        <f>LOOKUP(LOOKUP(C157,'様式3'!$A$5:$A$44,'様式3'!$C$5:$C$44),'産業分類表'!$D$2:$D$68,'産業分類表'!$E$2:$E$68)</f>
        <v>#N/A</v>
      </c>
      <c r="C157" s="343"/>
      <c r="D157" s="343"/>
      <c r="E157" s="343"/>
      <c r="F157" s="343"/>
      <c r="G157" s="341"/>
      <c r="H157" s="349"/>
      <c r="I157" s="343"/>
      <c r="J157" s="343"/>
      <c r="K157" s="342"/>
      <c r="L157" s="350"/>
      <c r="M157" s="351"/>
      <c r="N157" s="343"/>
      <c r="O157" s="354">
        <f t="shared" si="75"/>
      </c>
      <c r="P157" s="354">
        <f t="shared" si="76"/>
      </c>
      <c r="Q157" s="389"/>
      <c r="R157" s="376">
        <f t="shared" si="72"/>
      </c>
      <c r="S157" s="376">
        <f t="shared" si="73"/>
      </c>
      <c r="T157" s="352"/>
      <c r="U157" s="353"/>
      <c r="V157" s="352"/>
      <c r="W157" s="343"/>
      <c r="X157" s="388">
        <f t="shared" si="69"/>
      </c>
      <c r="Y157" s="375" t="e">
        <f t="shared" si="64"/>
        <v>#N/A</v>
      </c>
      <c r="Z157" s="375" t="e">
        <f t="shared" si="65"/>
        <v>#N/A</v>
      </c>
      <c r="AA157" s="375">
        <f t="shared" si="70"/>
      </c>
      <c r="AB157" s="377">
        <f t="shared" si="54"/>
        <v>1</v>
      </c>
      <c r="AC157" s="375" t="str">
        <f t="shared" si="55"/>
        <v> </v>
      </c>
      <c r="AD157" s="375" t="e">
        <f t="shared" si="56"/>
        <v>#N/A</v>
      </c>
      <c r="AE157" s="375" t="str">
        <f t="shared" si="57"/>
        <v> </v>
      </c>
      <c r="AF157" s="375" t="e">
        <f t="shared" si="66"/>
        <v>#N/A</v>
      </c>
      <c r="AG157" s="378" t="str">
        <f t="shared" si="58"/>
        <v> </v>
      </c>
      <c r="AH157" s="379" t="e">
        <f t="shared" si="59"/>
        <v>#VALUE!</v>
      </c>
      <c r="AI157" s="378" t="e">
        <f t="shared" si="60"/>
        <v>#VALUE!</v>
      </c>
      <c r="AJ157" s="375" t="e">
        <f t="shared" si="61"/>
        <v>#N/A</v>
      </c>
      <c r="AK157" s="375" t="e">
        <f>VLOOKUP(AJ157,'排出係数表'!$A$4:$C$202,2,FALSE)</f>
        <v>#N/A</v>
      </c>
      <c r="AL157" s="375" t="e">
        <f t="shared" si="67"/>
        <v>#N/A</v>
      </c>
      <c r="AM157" s="375" t="e">
        <f>VLOOKUP(AJ157,'排出係数表'!$A$4:$C$202,3,FALSE)</f>
        <v>#N/A</v>
      </c>
      <c r="AN157" s="375" t="e">
        <f t="shared" si="68"/>
        <v>#N/A</v>
      </c>
      <c r="AO157" s="375">
        <f t="shared" si="62"/>
      </c>
      <c r="AP157" s="379" t="str">
        <f t="shared" si="63"/>
        <v>-</v>
      </c>
      <c r="AQ157" s="375" t="e">
        <f t="shared" si="74"/>
        <v>#VALUE!</v>
      </c>
      <c r="AR157" s="375">
        <f t="shared" si="71"/>
      </c>
    </row>
    <row r="158" spans="1:44" s="380" customFormat="1" ht="13.5" customHeight="1">
      <c r="A158" s="375" t="str">
        <f>IF(ISBLANK(F158)=TRUE," ",IF(ISBLANK('様式2'!$C$23)=TRUE," ",'様式2'!$C$23))</f>
        <v> </v>
      </c>
      <c r="B158" s="375" t="e">
        <f>LOOKUP(LOOKUP(C158,'様式3'!$A$5:$A$44,'様式3'!$C$5:$C$44),'産業分類表'!$D$2:$D$68,'産業分類表'!$E$2:$E$68)</f>
        <v>#N/A</v>
      </c>
      <c r="C158" s="343"/>
      <c r="D158" s="343"/>
      <c r="E158" s="343"/>
      <c r="F158" s="343"/>
      <c r="G158" s="341"/>
      <c r="H158" s="349"/>
      <c r="I158" s="343"/>
      <c r="J158" s="343"/>
      <c r="K158" s="342"/>
      <c r="L158" s="350"/>
      <c r="M158" s="351"/>
      <c r="N158" s="343"/>
      <c r="O158" s="354">
        <f t="shared" si="75"/>
      </c>
      <c r="P158" s="354">
        <f t="shared" si="76"/>
      </c>
      <c r="Q158" s="389"/>
      <c r="R158" s="376">
        <f t="shared" si="72"/>
      </c>
      <c r="S158" s="376">
        <f t="shared" si="73"/>
      </c>
      <c r="T158" s="352"/>
      <c r="U158" s="353"/>
      <c r="V158" s="352"/>
      <c r="W158" s="343"/>
      <c r="X158" s="388">
        <f t="shared" si="69"/>
      </c>
      <c r="Y158" s="375" t="e">
        <f t="shared" si="64"/>
        <v>#N/A</v>
      </c>
      <c r="Z158" s="375" t="e">
        <f t="shared" si="65"/>
        <v>#N/A</v>
      </c>
      <c r="AA158" s="375">
        <f t="shared" si="70"/>
      </c>
      <c r="AB158" s="377">
        <f t="shared" si="54"/>
        <v>1</v>
      </c>
      <c r="AC158" s="375" t="str">
        <f t="shared" si="55"/>
        <v> </v>
      </c>
      <c r="AD158" s="375" t="e">
        <f t="shared" si="56"/>
        <v>#N/A</v>
      </c>
      <c r="AE158" s="375" t="str">
        <f t="shared" si="57"/>
        <v> </v>
      </c>
      <c r="AF158" s="375" t="e">
        <f t="shared" si="66"/>
        <v>#N/A</v>
      </c>
      <c r="AG158" s="378" t="str">
        <f t="shared" si="58"/>
        <v> </v>
      </c>
      <c r="AH158" s="379" t="e">
        <f t="shared" si="59"/>
        <v>#VALUE!</v>
      </c>
      <c r="AI158" s="378" t="e">
        <f t="shared" si="60"/>
        <v>#VALUE!</v>
      </c>
      <c r="AJ158" s="375" t="e">
        <f t="shared" si="61"/>
        <v>#N/A</v>
      </c>
      <c r="AK158" s="375" t="e">
        <f>VLOOKUP(AJ158,'排出係数表'!$A$4:$C$202,2,FALSE)</f>
        <v>#N/A</v>
      </c>
      <c r="AL158" s="375" t="e">
        <f t="shared" si="67"/>
        <v>#N/A</v>
      </c>
      <c r="AM158" s="375" t="e">
        <f>VLOOKUP(AJ158,'排出係数表'!$A$4:$C$202,3,FALSE)</f>
        <v>#N/A</v>
      </c>
      <c r="AN158" s="375" t="e">
        <f t="shared" si="68"/>
        <v>#N/A</v>
      </c>
      <c r="AO158" s="375">
        <f t="shared" si="62"/>
      </c>
      <c r="AP158" s="379" t="str">
        <f t="shared" si="63"/>
        <v>-</v>
      </c>
      <c r="AQ158" s="375" t="e">
        <f t="shared" si="74"/>
        <v>#VALUE!</v>
      </c>
      <c r="AR158" s="375">
        <f t="shared" si="71"/>
      </c>
    </row>
    <row r="159" spans="1:44" s="380" customFormat="1" ht="13.5" customHeight="1">
      <c r="A159" s="375" t="str">
        <f>IF(ISBLANK(F159)=TRUE," ",IF(ISBLANK('様式2'!$C$23)=TRUE," ",'様式2'!$C$23))</f>
        <v> </v>
      </c>
      <c r="B159" s="375" t="e">
        <f>LOOKUP(LOOKUP(C159,'様式3'!$A$5:$A$44,'様式3'!$C$5:$C$44),'産業分類表'!$D$2:$D$68,'産業分類表'!$E$2:$E$68)</f>
        <v>#N/A</v>
      </c>
      <c r="C159" s="343"/>
      <c r="D159" s="343"/>
      <c r="E159" s="343"/>
      <c r="F159" s="343"/>
      <c r="G159" s="341"/>
      <c r="H159" s="349"/>
      <c r="I159" s="343"/>
      <c r="J159" s="343"/>
      <c r="K159" s="342"/>
      <c r="L159" s="350"/>
      <c r="M159" s="351"/>
      <c r="N159" s="343"/>
      <c r="O159" s="354">
        <f t="shared" si="75"/>
      </c>
      <c r="P159" s="354">
        <f t="shared" si="76"/>
      </c>
      <c r="Q159" s="389"/>
      <c r="R159" s="376">
        <f t="shared" si="72"/>
      </c>
      <c r="S159" s="376">
        <f t="shared" si="73"/>
      </c>
      <c r="T159" s="352"/>
      <c r="U159" s="353"/>
      <c r="V159" s="352"/>
      <c r="W159" s="343"/>
      <c r="X159" s="388">
        <f t="shared" si="69"/>
      </c>
      <c r="Y159" s="375" t="e">
        <f t="shared" si="64"/>
        <v>#N/A</v>
      </c>
      <c r="Z159" s="375" t="e">
        <f t="shared" si="65"/>
        <v>#N/A</v>
      </c>
      <c r="AA159" s="375">
        <f t="shared" si="70"/>
      </c>
      <c r="AB159" s="377">
        <f t="shared" si="54"/>
        <v>1</v>
      </c>
      <c r="AC159" s="375" t="str">
        <f t="shared" si="55"/>
        <v> </v>
      </c>
      <c r="AD159" s="375" t="e">
        <f t="shared" si="56"/>
        <v>#N/A</v>
      </c>
      <c r="AE159" s="375" t="str">
        <f t="shared" si="57"/>
        <v> </v>
      </c>
      <c r="AF159" s="375" t="e">
        <f t="shared" si="66"/>
        <v>#N/A</v>
      </c>
      <c r="AG159" s="378" t="str">
        <f t="shared" si="58"/>
        <v> </v>
      </c>
      <c r="AH159" s="379" t="e">
        <f t="shared" si="59"/>
        <v>#VALUE!</v>
      </c>
      <c r="AI159" s="378" t="e">
        <f t="shared" si="60"/>
        <v>#VALUE!</v>
      </c>
      <c r="AJ159" s="375" t="e">
        <f t="shared" si="61"/>
        <v>#N/A</v>
      </c>
      <c r="AK159" s="375" t="e">
        <f>VLOOKUP(AJ159,'排出係数表'!$A$4:$C$202,2,FALSE)</f>
        <v>#N/A</v>
      </c>
      <c r="AL159" s="375" t="e">
        <f t="shared" si="67"/>
        <v>#N/A</v>
      </c>
      <c r="AM159" s="375" t="e">
        <f>VLOOKUP(AJ159,'排出係数表'!$A$4:$C$202,3,FALSE)</f>
        <v>#N/A</v>
      </c>
      <c r="AN159" s="375" t="e">
        <f t="shared" si="68"/>
        <v>#N/A</v>
      </c>
      <c r="AO159" s="375">
        <f t="shared" si="62"/>
      </c>
      <c r="AP159" s="379" t="str">
        <f t="shared" si="63"/>
        <v>-</v>
      </c>
      <c r="AQ159" s="375" t="e">
        <f t="shared" si="74"/>
        <v>#VALUE!</v>
      </c>
      <c r="AR159" s="375">
        <f t="shared" si="71"/>
      </c>
    </row>
    <row r="160" spans="1:44" s="380" customFormat="1" ht="13.5" customHeight="1">
      <c r="A160" s="375" t="str">
        <f>IF(ISBLANK(F160)=TRUE," ",IF(ISBLANK('様式2'!$C$23)=TRUE," ",'様式2'!$C$23))</f>
        <v> </v>
      </c>
      <c r="B160" s="375" t="e">
        <f>LOOKUP(LOOKUP(C160,'様式3'!$A$5:$A$44,'様式3'!$C$5:$C$44),'産業分類表'!$D$2:$D$68,'産業分類表'!$E$2:$E$68)</f>
        <v>#N/A</v>
      </c>
      <c r="C160" s="343"/>
      <c r="D160" s="343"/>
      <c r="E160" s="343"/>
      <c r="F160" s="343"/>
      <c r="G160" s="341"/>
      <c r="H160" s="349"/>
      <c r="I160" s="343"/>
      <c r="J160" s="343"/>
      <c r="K160" s="342"/>
      <c r="L160" s="350"/>
      <c r="M160" s="351"/>
      <c r="N160" s="343"/>
      <c r="O160" s="354">
        <f t="shared" si="75"/>
      </c>
      <c r="P160" s="354">
        <f t="shared" si="76"/>
      </c>
      <c r="Q160" s="389"/>
      <c r="R160" s="376">
        <f t="shared" si="72"/>
      </c>
      <c r="S160" s="376">
        <f t="shared" si="73"/>
      </c>
      <c r="T160" s="352"/>
      <c r="U160" s="353"/>
      <c r="V160" s="352"/>
      <c r="W160" s="343"/>
      <c r="X160" s="388">
        <f t="shared" si="69"/>
      </c>
      <c r="Y160" s="375" t="e">
        <f t="shared" si="64"/>
        <v>#N/A</v>
      </c>
      <c r="Z160" s="375" t="e">
        <f t="shared" si="65"/>
        <v>#N/A</v>
      </c>
      <c r="AA160" s="375">
        <f t="shared" si="70"/>
      </c>
      <c r="AB160" s="377">
        <f t="shared" si="54"/>
        <v>1</v>
      </c>
      <c r="AC160" s="375" t="str">
        <f t="shared" si="55"/>
        <v> </v>
      </c>
      <c r="AD160" s="375" t="e">
        <f t="shared" si="56"/>
        <v>#N/A</v>
      </c>
      <c r="AE160" s="375" t="str">
        <f t="shared" si="57"/>
        <v> </v>
      </c>
      <c r="AF160" s="375" t="e">
        <f t="shared" si="66"/>
        <v>#N/A</v>
      </c>
      <c r="AG160" s="378" t="str">
        <f t="shared" si="58"/>
        <v> </v>
      </c>
      <c r="AH160" s="379" t="e">
        <f t="shared" si="59"/>
        <v>#VALUE!</v>
      </c>
      <c r="AI160" s="378" t="e">
        <f t="shared" si="60"/>
        <v>#VALUE!</v>
      </c>
      <c r="AJ160" s="375" t="e">
        <f t="shared" si="61"/>
        <v>#N/A</v>
      </c>
      <c r="AK160" s="375" t="e">
        <f>VLOOKUP(AJ160,'排出係数表'!$A$4:$C$202,2,FALSE)</f>
        <v>#N/A</v>
      </c>
      <c r="AL160" s="375" t="e">
        <f t="shared" si="67"/>
        <v>#N/A</v>
      </c>
      <c r="AM160" s="375" t="e">
        <f>VLOOKUP(AJ160,'排出係数表'!$A$4:$C$202,3,FALSE)</f>
        <v>#N/A</v>
      </c>
      <c r="AN160" s="375" t="e">
        <f t="shared" si="68"/>
        <v>#N/A</v>
      </c>
      <c r="AO160" s="375">
        <f t="shared" si="62"/>
      </c>
      <c r="AP160" s="379" t="str">
        <f t="shared" si="63"/>
        <v>-</v>
      </c>
      <c r="AQ160" s="375" t="e">
        <f t="shared" si="74"/>
        <v>#VALUE!</v>
      </c>
      <c r="AR160" s="375">
        <f t="shared" si="71"/>
      </c>
    </row>
    <row r="161" spans="1:44" s="380" customFormat="1" ht="13.5" customHeight="1">
      <c r="A161" s="375" t="str">
        <f>IF(ISBLANK(F161)=TRUE," ",IF(ISBLANK('様式2'!$C$23)=TRUE," ",'様式2'!$C$23))</f>
        <v> </v>
      </c>
      <c r="B161" s="375" t="e">
        <f>LOOKUP(LOOKUP(C161,'様式3'!$A$5:$A$44,'様式3'!$C$5:$C$44),'産業分類表'!$D$2:$D$68,'産業分類表'!$E$2:$E$68)</f>
        <v>#N/A</v>
      </c>
      <c r="C161" s="343"/>
      <c r="D161" s="343"/>
      <c r="E161" s="343"/>
      <c r="F161" s="343"/>
      <c r="G161" s="341"/>
      <c r="H161" s="349"/>
      <c r="I161" s="343"/>
      <c r="J161" s="343"/>
      <c r="K161" s="342"/>
      <c r="L161" s="350"/>
      <c r="M161" s="351"/>
      <c r="N161" s="343"/>
      <c r="O161" s="354">
        <f t="shared" si="75"/>
      </c>
      <c r="P161" s="354">
        <f t="shared" si="76"/>
      </c>
      <c r="Q161" s="389"/>
      <c r="R161" s="376">
        <f t="shared" si="72"/>
      </c>
      <c r="S161" s="376">
        <f t="shared" si="73"/>
      </c>
      <c r="T161" s="352"/>
      <c r="U161" s="353"/>
      <c r="V161" s="352"/>
      <c r="W161" s="343"/>
      <c r="X161" s="388">
        <f t="shared" si="69"/>
      </c>
      <c r="Y161" s="375" t="e">
        <f t="shared" si="64"/>
        <v>#N/A</v>
      </c>
      <c r="Z161" s="375" t="e">
        <f t="shared" si="65"/>
        <v>#N/A</v>
      </c>
      <c r="AA161" s="375">
        <f t="shared" si="70"/>
      </c>
      <c r="AB161" s="377">
        <f t="shared" si="54"/>
        <v>1</v>
      </c>
      <c r="AC161" s="375" t="str">
        <f t="shared" si="55"/>
        <v> </v>
      </c>
      <c r="AD161" s="375" t="e">
        <f t="shared" si="56"/>
        <v>#N/A</v>
      </c>
      <c r="AE161" s="375" t="str">
        <f t="shared" si="57"/>
        <v> </v>
      </c>
      <c r="AF161" s="375" t="e">
        <f t="shared" si="66"/>
        <v>#N/A</v>
      </c>
      <c r="AG161" s="378" t="str">
        <f t="shared" si="58"/>
        <v> </v>
      </c>
      <c r="AH161" s="379" t="e">
        <f t="shared" si="59"/>
        <v>#VALUE!</v>
      </c>
      <c r="AI161" s="378" t="e">
        <f t="shared" si="60"/>
        <v>#VALUE!</v>
      </c>
      <c r="AJ161" s="375" t="e">
        <f t="shared" si="61"/>
        <v>#N/A</v>
      </c>
      <c r="AK161" s="375" t="e">
        <f>VLOOKUP(AJ161,'排出係数表'!$A$4:$C$202,2,FALSE)</f>
        <v>#N/A</v>
      </c>
      <c r="AL161" s="375" t="e">
        <f t="shared" si="67"/>
        <v>#N/A</v>
      </c>
      <c r="AM161" s="375" t="e">
        <f>VLOOKUP(AJ161,'排出係数表'!$A$4:$C$202,3,FALSE)</f>
        <v>#N/A</v>
      </c>
      <c r="AN161" s="375" t="e">
        <f t="shared" si="68"/>
        <v>#N/A</v>
      </c>
      <c r="AO161" s="375">
        <f t="shared" si="62"/>
      </c>
      <c r="AP161" s="379" t="str">
        <f t="shared" si="63"/>
        <v>-</v>
      </c>
      <c r="AQ161" s="375" t="e">
        <f t="shared" si="74"/>
        <v>#VALUE!</v>
      </c>
      <c r="AR161" s="375">
        <f t="shared" si="71"/>
      </c>
    </row>
    <row r="162" spans="1:44" s="380" customFormat="1" ht="13.5" customHeight="1">
      <c r="A162" s="375" t="str">
        <f>IF(ISBLANK(F162)=TRUE," ",IF(ISBLANK('様式2'!$C$23)=TRUE," ",'様式2'!$C$23))</f>
        <v> </v>
      </c>
      <c r="B162" s="375" t="e">
        <f>LOOKUP(LOOKUP(C162,'様式3'!$A$5:$A$44,'様式3'!$C$5:$C$44),'産業分類表'!$D$2:$D$68,'産業分類表'!$E$2:$E$68)</f>
        <v>#N/A</v>
      </c>
      <c r="C162" s="343"/>
      <c r="D162" s="343"/>
      <c r="E162" s="343"/>
      <c r="F162" s="343"/>
      <c r="G162" s="341"/>
      <c r="H162" s="349"/>
      <c r="I162" s="343"/>
      <c r="J162" s="343"/>
      <c r="K162" s="342"/>
      <c r="L162" s="350"/>
      <c r="M162" s="351"/>
      <c r="N162" s="343"/>
      <c r="O162" s="354">
        <f t="shared" si="75"/>
      </c>
      <c r="P162" s="354">
        <f t="shared" si="76"/>
      </c>
      <c r="Q162" s="389"/>
      <c r="R162" s="376">
        <f t="shared" si="72"/>
      </c>
      <c r="S162" s="376">
        <f t="shared" si="73"/>
      </c>
      <c r="T162" s="352"/>
      <c r="U162" s="353"/>
      <c r="V162" s="352"/>
      <c r="W162" s="343"/>
      <c r="X162" s="388">
        <f t="shared" si="69"/>
      </c>
      <c r="Y162" s="375" t="e">
        <f t="shared" si="64"/>
        <v>#N/A</v>
      </c>
      <c r="Z162" s="375" t="e">
        <f t="shared" si="65"/>
        <v>#N/A</v>
      </c>
      <c r="AA162" s="375">
        <f t="shared" si="70"/>
      </c>
      <c r="AB162" s="377">
        <f t="shared" si="54"/>
        <v>1</v>
      </c>
      <c r="AC162" s="375" t="str">
        <f t="shared" si="55"/>
        <v> </v>
      </c>
      <c r="AD162" s="375" t="e">
        <f t="shared" si="56"/>
        <v>#N/A</v>
      </c>
      <c r="AE162" s="375" t="str">
        <f t="shared" si="57"/>
        <v> </v>
      </c>
      <c r="AF162" s="375" t="e">
        <f t="shared" si="66"/>
        <v>#N/A</v>
      </c>
      <c r="AG162" s="378" t="str">
        <f t="shared" si="58"/>
        <v> </v>
      </c>
      <c r="AH162" s="379" t="e">
        <f t="shared" si="59"/>
        <v>#VALUE!</v>
      </c>
      <c r="AI162" s="378" t="e">
        <f t="shared" si="60"/>
        <v>#VALUE!</v>
      </c>
      <c r="AJ162" s="375" t="e">
        <f t="shared" si="61"/>
        <v>#N/A</v>
      </c>
      <c r="AK162" s="375" t="e">
        <f>VLOOKUP(AJ162,'排出係数表'!$A$4:$C$202,2,FALSE)</f>
        <v>#N/A</v>
      </c>
      <c r="AL162" s="375" t="e">
        <f t="shared" si="67"/>
        <v>#N/A</v>
      </c>
      <c r="AM162" s="375" t="e">
        <f>VLOOKUP(AJ162,'排出係数表'!$A$4:$C$202,3,FALSE)</f>
        <v>#N/A</v>
      </c>
      <c r="AN162" s="375" t="e">
        <f t="shared" si="68"/>
        <v>#N/A</v>
      </c>
      <c r="AO162" s="375">
        <f t="shared" si="62"/>
      </c>
      <c r="AP162" s="379" t="str">
        <f t="shared" si="63"/>
        <v>-</v>
      </c>
      <c r="AQ162" s="375" t="e">
        <f t="shared" si="74"/>
        <v>#VALUE!</v>
      </c>
      <c r="AR162" s="375">
        <f t="shared" si="71"/>
      </c>
    </row>
    <row r="163" spans="1:44" s="380" customFormat="1" ht="13.5" customHeight="1">
      <c r="A163" s="375" t="str">
        <f>IF(ISBLANK(F163)=TRUE," ",IF(ISBLANK('様式2'!$C$23)=TRUE," ",'様式2'!$C$23))</f>
        <v> </v>
      </c>
      <c r="B163" s="375" t="e">
        <f>LOOKUP(LOOKUP(C163,'様式3'!$A$5:$A$44,'様式3'!$C$5:$C$44),'産業分類表'!$D$2:$D$68,'産業分類表'!$E$2:$E$68)</f>
        <v>#N/A</v>
      </c>
      <c r="C163" s="343"/>
      <c r="D163" s="343"/>
      <c r="E163" s="343"/>
      <c r="F163" s="343"/>
      <c r="G163" s="341"/>
      <c r="H163" s="349"/>
      <c r="I163" s="343"/>
      <c r="J163" s="343"/>
      <c r="K163" s="342"/>
      <c r="L163" s="350"/>
      <c r="M163" s="351"/>
      <c r="N163" s="343"/>
      <c r="O163" s="354">
        <f t="shared" si="75"/>
      </c>
      <c r="P163" s="354">
        <f t="shared" si="76"/>
      </c>
      <c r="Q163" s="389"/>
      <c r="R163" s="376">
        <f t="shared" si="72"/>
      </c>
      <c r="S163" s="376">
        <f t="shared" si="73"/>
      </c>
      <c r="T163" s="352"/>
      <c r="U163" s="353"/>
      <c r="V163" s="352"/>
      <c r="W163" s="343"/>
      <c r="X163" s="388">
        <f t="shared" si="69"/>
      </c>
      <c r="Y163" s="375" t="e">
        <f t="shared" si="64"/>
        <v>#N/A</v>
      </c>
      <c r="Z163" s="375" t="e">
        <f t="shared" si="65"/>
        <v>#N/A</v>
      </c>
      <c r="AA163" s="375">
        <f t="shared" si="70"/>
      </c>
      <c r="AB163" s="377">
        <f t="shared" si="54"/>
        <v>1</v>
      </c>
      <c r="AC163" s="375" t="str">
        <f t="shared" si="55"/>
        <v> </v>
      </c>
      <c r="AD163" s="375" t="e">
        <f t="shared" si="56"/>
        <v>#N/A</v>
      </c>
      <c r="AE163" s="375" t="str">
        <f t="shared" si="57"/>
        <v> </v>
      </c>
      <c r="AF163" s="375" t="e">
        <f t="shared" si="66"/>
        <v>#N/A</v>
      </c>
      <c r="AG163" s="378" t="str">
        <f t="shared" si="58"/>
        <v> </v>
      </c>
      <c r="AH163" s="379" t="e">
        <f t="shared" si="59"/>
        <v>#VALUE!</v>
      </c>
      <c r="AI163" s="378" t="e">
        <f t="shared" si="60"/>
        <v>#VALUE!</v>
      </c>
      <c r="AJ163" s="375" t="e">
        <f t="shared" si="61"/>
        <v>#N/A</v>
      </c>
      <c r="AK163" s="375" t="e">
        <f>VLOOKUP(AJ163,'排出係数表'!$A$4:$C$202,2,FALSE)</f>
        <v>#N/A</v>
      </c>
      <c r="AL163" s="375" t="e">
        <f t="shared" si="67"/>
        <v>#N/A</v>
      </c>
      <c r="AM163" s="375" t="e">
        <f>VLOOKUP(AJ163,'排出係数表'!$A$4:$C$202,3,FALSE)</f>
        <v>#N/A</v>
      </c>
      <c r="AN163" s="375" t="e">
        <f t="shared" si="68"/>
        <v>#N/A</v>
      </c>
      <c r="AO163" s="375">
        <f t="shared" si="62"/>
      </c>
      <c r="AP163" s="379" t="str">
        <f t="shared" si="63"/>
        <v>-</v>
      </c>
      <c r="AQ163" s="375" t="e">
        <f t="shared" si="74"/>
        <v>#VALUE!</v>
      </c>
      <c r="AR163" s="375">
        <f t="shared" si="71"/>
      </c>
    </row>
    <row r="164" spans="1:44" s="380" customFormat="1" ht="13.5" customHeight="1">
      <c r="A164" s="375" t="str">
        <f>IF(ISBLANK(F164)=TRUE," ",IF(ISBLANK('様式2'!$C$23)=TRUE," ",'様式2'!$C$23))</f>
        <v> </v>
      </c>
      <c r="B164" s="375" t="e">
        <f>LOOKUP(LOOKUP(C164,'様式3'!$A$5:$A$44,'様式3'!$C$5:$C$44),'産業分類表'!$D$2:$D$68,'産業分類表'!$E$2:$E$68)</f>
        <v>#N/A</v>
      </c>
      <c r="C164" s="343"/>
      <c r="D164" s="343"/>
      <c r="E164" s="343"/>
      <c r="F164" s="343"/>
      <c r="G164" s="341"/>
      <c r="H164" s="349"/>
      <c r="I164" s="343"/>
      <c r="J164" s="343"/>
      <c r="K164" s="342"/>
      <c r="L164" s="350"/>
      <c r="M164" s="351"/>
      <c r="N164" s="343"/>
      <c r="O164" s="354">
        <f t="shared" si="75"/>
      </c>
      <c r="P164" s="354">
        <f t="shared" si="76"/>
      </c>
      <c r="Q164" s="389"/>
      <c r="R164" s="376">
        <f t="shared" si="72"/>
      </c>
      <c r="S164" s="376">
        <f t="shared" si="73"/>
      </c>
      <c r="T164" s="352"/>
      <c r="U164" s="353"/>
      <c r="V164" s="352"/>
      <c r="W164" s="343"/>
      <c r="X164" s="388">
        <f t="shared" si="69"/>
      </c>
      <c r="Y164" s="375" t="e">
        <f t="shared" si="64"/>
        <v>#N/A</v>
      </c>
      <c r="Z164" s="375" t="e">
        <f t="shared" si="65"/>
        <v>#N/A</v>
      </c>
      <c r="AA164" s="375">
        <f t="shared" si="70"/>
      </c>
      <c r="AB164" s="377">
        <f t="shared" si="54"/>
        <v>1</v>
      </c>
      <c r="AC164" s="375" t="str">
        <f t="shared" si="55"/>
        <v> </v>
      </c>
      <c r="AD164" s="375" t="e">
        <f t="shared" si="56"/>
        <v>#N/A</v>
      </c>
      <c r="AE164" s="375" t="str">
        <f t="shared" si="57"/>
        <v> </v>
      </c>
      <c r="AF164" s="375" t="e">
        <f t="shared" si="66"/>
        <v>#N/A</v>
      </c>
      <c r="AG164" s="378" t="str">
        <f t="shared" si="58"/>
        <v> </v>
      </c>
      <c r="AH164" s="379" t="e">
        <f t="shared" si="59"/>
        <v>#VALUE!</v>
      </c>
      <c r="AI164" s="378" t="e">
        <f t="shared" si="60"/>
        <v>#VALUE!</v>
      </c>
      <c r="AJ164" s="375" t="e">
        <f t="shared" si="61"/>
        <v>#N/A</v>
      </c>
      <c r="AK164" s="375" t="e">
        <f>VLOOKUP(AJ164,'排出係数表'!$A$4:$C$202,2,FALSE)</f>
        <v>#N/A</v>
      </c>
      <c r="AL164" s="375" t="e">
        <f t="shared" si="67"/>
        <v>#N/A</v>
      </c>
      <c r="AM164" s="375" t="e">
        <f>VLOOKUP(AJ164,'排出係数表'!$A$4:$C$202,3,FALSE)</f>
        <v>#N/A</v>
      </c>
      <c r="AN164" s="375" t="e">
        <f t="shared" si="68"/>
        <v>#N/A</v>
      </c>
      <c r="AO164" s="375">
        <f t="shared" si="62"/>
      </c>
      <c r="AP164" s="379" t="str">
        <f t="shared" si="63"/>
        <v>-</v>
      </c>
      <c r="AQ164" s="375" t="e">
        <f t="shared" si="74"/>
        <v>#VALUE!</v>
      </c>
      <c r="AR164" s="375">
        <f t="shared" si="71"/>
      </c>
    </row>
    <row r="165" spans="1:44" s="380" customFormat="1" ht="13.5" customHeight="1">
      <c r="A165" s="375" t="str">
        <f>IF(ISBLANK(F165)=TRUE," ",IF(ISBLANK('様式2'!$C$23)=TRUE," ",'様式2'!$C$23))</f>
        <v> </v>
      </c>
      <c r="B165" s="375" t="e">
        <f>LOOKUP(LOOKUP(C165,'様式3'!$A$5:$A$44,'様式3'!$C$5:$C$44),'産業分類表'!$D$2:$D$68,'産業分類表'!$E$2:$E$68)</f>
        <v>#N/A</v>
      </c>
      <c r="C165" s="343"/>
      <c r="D165" s="343"/>
      <c r="E165" s="343"/>
      <c r="F165" s="343"/>
      <c r="G165" s="341"/>
      <c r="H165" s="349"/>
      <c r="I165" s="343"/>
      <c r="J165" s="343"/>
      <c r="K165" s="342"/>
      <c r="L165" s="350"/>
      <c r="M165" s="351"/>
      <c r="N165" s="343"/>
      <c r="O165" s="354">
        <f t="shared" si="75"/>
      </c>
      <c r="P165" s="354">
        <f t="shared" si="76"/>
      </c>
      <c r="Q165" s="389"/>
      <c r="R165" s="376">
        <f t="shared" si="72"/>
      </c>
      <c r="S165" s="376">
        <f t="shared" si="73"/>
      </c>
      <c r="T165" s="352"/>
      <c r="U165" s="353"/>
      <c r="V165" s="352"/>
      <c r="W165" s="343"/>
      <c r="X165" s="388">
        <f t="shared" si="69"/>
      </c>
      <c r="Y165" s="375" t="e">
        <f t="shared" si="64"/>
        <v>#N/A</v>
      </c>
      <c r="Z165" s="375" t="e">
        <f t="shared" si="65"/>
        <v>#N/A</v>
      </c>
      <c r="AA165" s="375">
        <f t="shared" si="70"/>
      </c>
      <c r="AB165" s="377">
        <f t="shared" si="54"/>
        <v>1</v>
      </c>
      <c r="AC165" s="375" t="str">
        <f t="shared" si="55"/>
        <v> </v>
      </c>
      <c r="AD165" s="375" t="e">
        <f t="shared" si="56"/>
        <v>#N/A</v>
      </c>
      <c r="AE165" s="375" t="str">
        <f t="shared" si="57"/>
        <v> </v>
      </c>
      <c r="AF165" s="375" t="e">
        <f t="shared" si="66"/>
        <v>#N/A</v>
      </c>
      <c r="AG165" s="378" t="str">
        <f t="shared" si="58"/>
        <v> </v>
      </c>
      <c r="AH165" s="379" t="e">
        <f t="shared" si="59"/>
        <v>#VALUE!</v>
      </c>
      <c r="AI165" s="378" t="e">
        <f t="shared" si="60"/>
        <v>#VALUE!</v>
      </c>
      <c r="AJ165" s="375" t="e">
        <f t="shared" si="61"/>
        <v>#N/A</v>
      </c>
      <c r="AK165" s="375" t="e">
        <f>VLOOKUP(AJ165,'排出係数表'!$A$4:$C$202,2,FALSE)</f>
        <v>#N/A</v>
      </c>
      <c r="AL165" s="375" t="e">
        <f t="shared" si="67"/>
        <v>#N/A</v>
      </c>
      <c r="AM165" s="375" t="e">
        <f>VLOOKUP(AJ165,'排出係数表'!$A$4:$C$202,3,FALSE)</f>
        <v>#N/A</v>
      </c>
      <c r="AN165" s="375" t="e">
        <f t="shared" si="68"/>
        <v>#N/A</v>
      </c>
      <c r="AO165" s="375">
        <f t="shared" si="62"/>
      </c>
      <c r="AP165" s="379" t="str">
        <f t="shared" si="63"/>
        <v>-</v>
      </c>
      <c r="AQ165" s="375" t="e">
        <f t="shared" si="74"/>
        <v>#VALUE!</v>
      </c>
      <c r="AR165" s="375">
        <f t="shared" si="71"/>
      </c>
    </row>
    <row r="166" spans="1:44" s="380" customFormat="1" ht="13.5" customHeight="1">
      <c r="A166" s="375" t="str">
        <f>IF(ISBLANK(F166)=TRUE," ",IF(ISBLANK('様式2'!$C$23)=TRUE," ",'様式2'!$C$23))</f>
        <v> </v>
      </c>
      <c r="B166" s="375" t="e">
        <f>LOOKUP(LOOKUP(C166,'様式3'!$A$5:$A$44,'様式3'!$C$5:$C$44),'産業分類表'!$D$2:$D$68,'産業分類表'!$E$2:$E$68)</f>
        <v>#N/A</v>
      </c>
      <c r="C166" s="343"/>
      <c r="D166" s="343"/>
      <c r="E166" s="343"/>
      <c r="F166" s="343"/>
      <c r="G166" s="341"/>
      <c r="H166" s="349"/>
      <c r="I166" s="343"/>
      <c r="J166" s="343"/>
      <c r="K166" s="342"/>
      <c r="L166" s="350"/>
      <c r="M166" s="351"/>
      <c r="N166" s="343"/>
      <c r="O166" s="354">
        <f t="shared" si="75"/>
      </c>
      <c r="P166" s="354">
        <f t="shared" si="76"/>
      </c>
      <c r="Q166" s="389"/>
      <c r="R166" s="376">
        <f t="shared" si="72"/>
      </c>
      <c r="S166" s="376">
        <f t="shared" si="73"/>
      </c>
      <c r="T166" s="352"/>
      <c r="U166" s="353"/>
      <c r="V166" s="352"/>
      <c r="W166" s="343"/>
      <c r="X166" s="388">
        <f t="shared" si="69"/>
      </c>
      <c r="Y166" s="375" t="e">
        <f t="shared" si="64"/>
        <v>#N/A</v>
      </c>
      <c r="Z166" s="375" t="e">
        <f t="shared" si="65"/>
        <v>#N/A</v>
      </c>
      <c r="AA166" s="375">
        <f t="shared" si="70"/>
      </c>
      <c r="AB166" s="377">
        <f t="shared" si="54"/>
        <v>1</v>
      </c>
      <c r="AC166" s="375" t="str">
        <f t="shared" si="55"/>
        <v> </v>
      </c>
      <c r="AD166" s="375" t="e">
        <f t="shared" si="56"/>
        <v>#N/A</v>
      </c>
      <c r="AE166" s="375" t="str">
        <f t="shared" si="57"/>
        <v> </v>
      </c>
      <c r="AF166" s="375" t="e">
        <f t="shared" si="66"/>
        <v>#N/A</v>
      </c>
      <c r="AG166" s="378" t="str">
        <f t="shared" si="58"/>
        <v> </v>
      </c>
      <c r="AH166" s="379" t="e">
        <f t="shared" si="59"/>
        <v>#VALUE!</v>
      </c>
      <c r="AI166" s="378" t="e">
        <f t="shared" si="60"/>
        <v>#VALUE!</v>
      </c>
      <c r="AJ166" s="375" t="e">
        <f t="shared" si="61"/>
        <v>#N/A</v>
      </c>
      <c r="AK166" s="375" t="e">
        <f>VLOOKUP(AJ166,'排出係数表'!$A$4:$C$202,2,FALSE)</f>
        <v>#N/A</v>
      </c>
      <c r="AL166" s="375" t="e">
        <f t="shared" si="67"/>
        <v>#N/A</v>
      </c>
      <c r="AM166" s="375" t="e">
        <f>VLOOKUP(AJ166,'排出係数表'!$A$4:$C$202,3,FALSE)</f>
        <v>#N/A</v>
      </c>
      <c r="AN166" s="375" t="e">
        <f t="shared" si="68"/>
        <v>#N/A</v>
      </c>
      <c r="AO166" s="375">
        <f t="shared" si="62"/>
      </c>
      <c r="AP166" s="379" t="str">
        <f t="shared" si="63"/>
        <v>-</v>
      </c>
      <c r="AQ166" s="375" t="e">
        <f t="shared" si="74"/>
        <v>#VALUE!</v>
      </c>
      <c r="AR166" s="375">
        <f t="shared" si="71"/>
      </c>
    </row>
    <row r="167" spans="1:44" s="380" customFormat="1" ht="13.5" customHeight="1">
      <c r="A167" s="375" t="str">
        <f>IF(ISBLANK(F167)=TRUE," ",IF(ISBLANK('様式2'!$C$23)=TRUE," ",'様式2'!$C$23))</f>
        <v> </v>
      </c>
      <c r="B167" s="375" t="e">
        <f>LOOKUP(LOOKUP(C167,'様式3'!$A$5:$A$44,'様式3'!$C$5:$C$44),'産業分類表'!$D$2:$D$68,'産業分類表'!$E$2:$E$68)</f>
        <v>#N/A</v>
      </c>
      <c r="C167" s="343"/>
      <c r="D167" s="343"/>
      <c r="E167" s="343"/>
      <c r="F167" s="343"/>
      <c r="G167" s="341"/>
      <c r="H167" s="349"/>
      <c r="I167" s="343"/>
      <c r="J167" s="343"/>
      <c r="K167" s="342"/>
      <c r="L167" s="350"/>
      <c r="M167" s="351"/>
      <c r="N167" s="343"/>
      <c r="O167" s="354">
        <f t="shared" si="75"/>
      </c>
      <c r="P167" s="354">
        <f t="shared" si="76"/>
      </c>
      <c r="Q167" s="389"/>
      <c r="R167" s="376">
        <f t="shared" si="72"/>
      </c>
      <c r="S167" s="376">
        <f t="shared" si="73"/>
      </c>
      <c r="T167" s="352"/>
      <c r="U167" s="353"/>
      <c r="V167" s="352"/>
      <c r="W167" s="343"/>
      <c r="X167" s="388">
        <f t="shared" si="69"/>
      </c>
      <c r="Y167" s="375" t="e">
        <f t="shared" si="64"/>
        <v>#N/A</v>
      </c>
      <c r="Z167" s="375" t="e">
        <f t="shared" si="65"/>
        <v>#N/A</v>
      </c>
      <c r="AA167" s="375">
        <f t="shared" si="70"/>
      </c>
      <c r="AB167" s="377">
        <f t="shared" si="54"/>
        <v>1</v>
      </c>
      <c r="AC167" s="375" t="str">
        <f t="shared" si="55"/>
        <v> </v>
      </c>
      <c r="AD167" s="375" t="e">
        <f t="shared" si="56"/>
        <v>#N/A</v>
      </c>
      <c r="AE167" s="375" t="str">
        <f t="shared" si="57"/>
        <v> </v>
      </c>
      <c r="AF167" s="375" t="e">
        <f t="shared" si="66"/>
        <v>#N/A</v>
      </c>
      <c r="AG167" s="378" t="str">
        <f t="shared" si="58"/>
        <v> </v>
      </c>
      <c r="AH167" s="379" t="e">
        <f t="shared" si="59"/>
        <v>#VALUE!</v>
      </c>
      <c r="AI167" s="378" t="e">
        <f t="shared" si="60"/>
        <v>#VALUE!</v>
      </c>
      <c r="AJ167" s="375" t="e">
        <f t="shared" si="61"/>
        <v>#N/A</v>
      </c>
      <c r="AK167" s="375" t="e">
        <f>VLOOKUP(AJ167,'排出係数表'!$A$4:$C$202,2,FALSE)</f>
        <v>#N/A</v>
      </c>
      <c r="AL167" s="375" t="e">
        <f t="shared" si="67"/>
        <v>#N/A</v>
      </c>
      <c r="AM167" s="375" t="e">
        <f>VLOOKUP(AJ167,'排出係数表'!$A$4:$C$202,3,FALSE)</f>
        <v>#N/A</v>
      </c>
      <c r="AN167" s="375" t="e">
        <f t="shared" si="68"/>
        <v>#N/A</v>
      </c>
      <c r="AO167" s="375">
        <f t="shared" si="62"/>
      </c>
      <c r="AP167" s="379" t="str">
        <f t="shared" si="63"/>
        <v>-</v>
      </c>
      <c r="AQ167" s="375" t="e">
        <f t="shared" si="74"/>
        <v>#VALUE!</v>
      </c>
      <c r="AR167" s="375">
        <f t="shared" si="71"/>
      </c>
    </row>
    <row r="168" spans="1:44" s="380" customFormat="1" ht="13.5" customHeight="1">
      <c r="A168" s="375" t="str">
        <f>IF(ISBLANK(F168)=TRUE," ",IF(ISBLANK('様式2'!$C$23)=TRUE," ",'様式2'!$C$23))</f>
        <v> </v>
      </c>
      <c r="B168" s="375" t="e">
        <f>LOOKUP(LOOKUP(C168,'様式3'!$A$5:$A$44,'様式3'!$C$5:$C$44),'産業分類表'!$D$2:$D$68,'産業分類表'!$E$2:$E$68)</f>
        <v>#N/A</v>
      </c>
      <c r="C168" s="343"/>
      <c r="D168" s="343"/>
      <c r="E168" s="343"/>
      <c r="F168" s="343"/>
      <c r="G168" s="341"/>
      <c r="H168" s="349"/>
      <c r="I168" s="343"/>
      <c r="J168" s="343"/>
      <c r="K168" s="342"/>
      <c r="L168" s="350"/>
      <c r="M168" s="351"/>
      <c r="N168" s="343"/>
      <c r="O168" s="354">
        <f t="shared" si="75"/>
      </c>
      <c r="P168" s="354">
        <f t="shared" si="76"/>
      </c>
      <c r="Q168" s="389"/>
      <c r="R168" s="376">
        <f t="shared" si="72"/>
      </c>
      <c r="S168" s="376">
        <f t="shared" si="73"/>
      </c>
      <c r="T168" s="352"/>
      <c r="U168" s="353"/>
      <c r="V168" s="352"/>
      <c r="W168" s="343"/>
      <c r="X168" s="388">
        <f t="shared" si="69"/>
      </c>
      <c r="Y168" s="375" t="e">
        <f t="shared" si="64"/>
        <v>#N/A</v>
      </c>
      <c r="Z168" s="375" t="e">
        <f t="shared" si="65"/>
        <v>#N/A</v>
      </c>
      <c r="AA168" s="375">
        <f t="shared" si="70"/>
      </c>
      <c r="AB168" s="377">
        <f t="shared" si="54"/>
        <v>1</v>
      </c>
      <c r="AC168" s="375" t="str">
        <f t="shared" si="55"/>
        <v> </v>
      </c>
      <c r="AD168" s="375" t="e">
        <f t="shared" si="56"/>
        <v>#N/A</v>
      </c>
      <c r="AE168" s="375" t="str">
        <f t="shared" si="57"/>
        <v> </v>
      </c>
      <c r="AF168" s="375" t="e">
        <f t="shared" si="66"/>
        <v>#N/A</v>
      </c>
      <c r="AG168" s="378" t="str">
        <f t="shared" si="58"/>
        <v> </v>
      </c>
      <c r="AH168" s="379" t="e">
        <f t="shared" si="59"/>
        <v>#VALUE!</v>
      </c>
      <c r="AI168" s="378" t="e">
        <f aca="true" t="shared" si="77" ref="AI168:AI231">CONCATENATE(AH168,Z168,AE168)</f>
        <v>#VALUE!</v>
      </c>
      <c r="AJ168" s="375" t="e">
        <f t="shared" si="61"/>
        <v>#N/A</v>
      </c>
      <c r="AK168" s="375" t="e">
        <f>VLOOKUP(AJ168,'排出係数表'!$A$4:$C$202,2,FALSE)</f>
        <v>#N/A</v>
      </c>
      <c r="AL168" s="375" t="e">
        <f t="shared" si="67"/>
        <v>#N/A</v>
      </c>
      <c r="AM168" s="375" t="e">
        <f>VLOOKUP(AJ168,'排出係数表'!$A$4:$C$202,3,FALSE)</f>
        <v>#N/A</v>
      </c>
      <c r="AN168" s="375" t="e">
        <f t="shared" si="68"/>
        <v>#N/A</v>
      </c>
      <c r="AO168" s="375">
        <f t="shared" si="62"/>
      </c>
      <c r="AP168" s="379" t="str">
        <f t="shared" si="63"/>
        <v>-</v>
      </c>
      <c r="AQ168" s="375" t="e">
        <f t="shared" si="74"/>
        <v>#VALUE!</v>
      </c>
      <c r="AR168" s="375">
        <f t="shared" si="71"/>
      </c>
    </row>
    <row r="169" spans="1:44" s="380" customFormat="1" ht="13.5" customHeight="1">
      <c r="A169" s="375" t="str">
        <f>IF(ISBLANK(F169)=TRUE," ",IF(ISBLANK('様式2'!$C$23)=TRUE," ",'様式2'!$C$23))</f>
        <v> </v>
      </c>
      <c r="B169" s="375" t="e">
        <f>LOOKUP(LOOKUP(C169,'様式3'!$A$5:$A$44,'様式3'!$C$5:$C$44),'産業分類表'!$D$2:$D$68,'産業分類表'!$E$2:$E$68)</f>
        <v>#N/A</v>
      </c>
      <c r="C169" s="343"/>
      <c r="D169" s="343"/>
      <c r="E169" s="343"/>
      <c r="F169" s="343"/>
      <c r="G169" s="341"/>
      <c r="H169" s="349"/>
      <c r="I169" s="343"/>
      <c r="J169" s="343"/>
      <c r="K169" s="342"/>
      <c r="L169" s="350"/>
      <c r="M169" s="351"/>
      <c r="N169" s="343"/>
      <c r="O169" s="354">
        <f t="shared" si="75"/>
      </c>
      <c r="P169" s="354">
        <f t="shared" si="76"/>
      </c>
      <c r="Q169" s="389"/>
      <c r="R169" s="376">
        <f t="shared" si="72"/>
      </c>
      <c r="S169" s="376">
        <f t="shared" si="73"/>
      </c>
      <c r="T169" s="352"/>
      <c r="U169" s="353"/>
      <c r="V169" s="352"/>
      <c r="W169" s="343"/>
      <c r="X169" s="388">
        <f t="shared" si="69"/>
      </c>
      <c r="Y169" s="375" t="e">
        <f t="shared" si="64"/>
        <v>#N/A</v>
      </c>
      <c r="Z169" s="375" t="e">
        <f t="shared" si="65"/>
        <v>#N/A</v>
      </c>
      <c r="AA169" s="375">
        <f t="shared" si="70"/>
      </c>
      <c r="AB169" s="377">
        <f t="shared" si="54"/>
        <v>1</v>
      </c>
      <c r="AC169" s="375" t="str">
        <f t="shared" si="55"/>
        <v> </v>
      </c>
      <c r="AD169" s="375" t="e">
        <f t="shared" si="56"/>
        <v>#N/A</v>
      </c>
      <c r="AE169" s="375" t="str">
        <f t="shared" si="57"/>
        <v> </v>
      </c>
      <c r="AF169" s="375" t="e">
        <f t="shared" si="66"/>
        <v>#N/A</v>
      </c>
      <c r="AG169" s="378" t="str">
        <f t="shared" si="58"/>
        <v> </v>
      </c>
      <c r="AH169" s="379" t="e">
        <f t="shared" si="59"/>
        <v>#VALUE!</v>
      </c>
      <c r="AI169" s="378" t="e">
        <f t="shared" si="77"/>
        <v>#VALUE!</v>
      </c>
      <c r="AJ169" s="375" t="e">
        <f t="shared" si="61"/>
        <v>#N/A</v>
      </c>
      <c r="AK169" s="375" t="e">
        <f>VLOOKUP(AJ169,'排出係数表'!$A$4:$C$202,2,FALSE)</f>
        <v>#N/A</v>
      </c>
      <c r="AL169" s="375" t="e">
        <f t="shared" si="67"/>
        <v>#N/A</v>
      </c>
      <c r="AM169" s="375" t="e">
        <f>VLOOKUP(AJ169,'排出係数表'!$A$4:$C$202,3,FALSE)</f>
        <v>#N/A</v>
      </c>
      <c r="AN169" s="375" t="e">
        <f t="shared" si="68"/>
        <v>#N/A</v>
      </c>
      <c r="AO169" s="375">
        <f t="shared" si="62"/>
      </c>
      <c r="AP169" s="379" t="str">
        <f t="shared" si="63"/>
        <v>-</v>
      </c>
      <c r="AQ169" s="375" t="e">
        <f t="shared" si="74"/>
        <v>#VALUE!</v>
      </c>
      <c r="AR169" s="375">
        <f t="shared" si="71"/>
      </c>
    </row>
    <row r="170" spans="1:44" s="380" customFormat="1" ht="13.5" customHeight="1">
      <c r="A170" s="375" t="str">
        <f>IF(ISBLANK(F170)=TRUE," ",IF(ISBLANK('様式2'!$C$23)=TRUE," ",'様式2'!$C$23))</f>
        <v> </v>
      </c>
      <c r="B170" s="375" t="e">
        <f>LOOKUP(LOOKUP(C170,'様式3'!$A$5:$A$44,'様式3'!$C$5:$C$44),'産業分類表'!$D$2:$D$68,'産業分類表'!$E$2:$E$68)</f>
        <v>#N/A</v>
      </c>
      <c r="C170" s="343"/>
      <c r="D170" s="343"/>
      <c r="E170" s="343"/>
      <c r="F170" s="343"/>
      <c r="G170" s="341"/>
      <c r="H170" s="349"/>
      <c r="I170" s="343"/>
      <c r="J170" s="343"/>
      <c r="K170" s="342"/>
      <c r="L170" s="350"/>
      <c r="M170" s="351"/>
      <c r="N170" s="343"/>
      <c r="O170" s="354">
        <f t="shared" si="75"/>
      </c>
      <c r="P170" s="354">
        <f t="shared" si="76"/>
      </c>
      <c r="Q170" s="389"/>
      <c r="R170" s="376">
        <f t="shared" si="72"/>
      </c>
      <c r="S170" s="376">
        <f t="shared" si="73"/>
      </c>
      <c r="T170" s="352"/>
      <c r="U170" s="353"/>
      <c r="V170" s="352"/>
      <c r="W170" s="343"/>
      <c r="X170" s="388">
        <f t="shared" si="69"/>
      </c>
      <c r="Y170" s="375" t="e">
        <f t="shared" si="64"/>
        <v>#N/A</v>
      </c>
      <c r="Z170" s="375" t="e">
        <f t="shared" si="65"/>
        <v>#N/A</v>
      </c>
      <c r="AA170" s="375">
        <f t="shared" si="70"/>
      </c>
      <c r="AB170" s="377">
        <f t="shared" si="54"/>
        <v>1</v>
      </c>
      <c r="AC170" s="375" t="str">
        <f t="shared" si="55"/>
        <v> </v>
      </c>
      <c r="AD170" s="375" t="e">
        <f t="shared" si="56"/>
        <v>#N/A</v>
      </c>
      <c r="AE170" s="375" t="str">
        <f t="shared" si="57"/>
        <v> </v>
      </c>
      <c r="AF170" s="375" t="e">
        <f t="shared" si="66"/>
        <v>#N/A</v>
      </c>
      <c r="AG170" s="378" t="str">
        <f t="shared" si="58"/>
        <v> </v>
      </c>
      <c r="AH170" s="379" t="e">
        <f t="shared" si="59"/>
        <v>#VALUE!</v>
      </c>
      <c r="AI170" s="378" t="e">
        <f t="shared" si="77"/>
        <v>#VALUE!</v>
      </c>
      <c r="AJ170" s="375" t="e">
        <f t="shared" si="61"/>
        <v>#N/A</v>
      </c>
      <c r="AK170" s="375" t="e">
        <f>VLOOKUP(AJ170,'排出係数表'!$A$4:$C$202,2,FALSE)</f>
        <v>#N/A</v>
      </c>
      <c r="AL170" s="375" t="e">
        <f t="shared" si="67"/>
        <v>#N/A</v>
      </c>
      <c r="AM170" s="375" t="e">
        <f>VLOOKUP(AJ170,'排出係数表'!$A$4:$C$202,3,FALSE)</f>
        <v>#N/A</v>
      </c>
      <c r="AN170" s="375" t="e">
        <f t="shared" si="68"/>
        <v>#N/A</v>
      </c>
      <c r="AO170" s="375">
        <f t="shared" si="62"/>
      </c>
      <c r="AP170" s="379" t="str">
        <f t="shared" si="63"/>
        <v>-</v>
      </c>
      <c r="AQ170" s="375" t="e">
        <f t="shared" si="74"/>
        <v>#VALUE!</v>
      </c>
      <c r="AR170" s="375">
        <f t="shared" si="71"/>
      </c>
    </row>
    <row r="171" spans="1:44" s="380" customFormat="1" ht="13.5" customHeight="1">
      <c r="A171" s="375" t="str">
        <f>IF(ISBLANK(F171)=TRUE," ",IF(ISBLANK('様式2'!$C$23)=TRUE," ",'様式2'!$C$23))</f>
        <v> </v>
      </c>
      <c r="B171" s="375" t="e">
        <f>LOOKUP(LOOKUP(C171,'様式3'!$A$5:$A$44,'様式3'!$C$5:$C$44),'産業分類表'!$D$2:$D$68,'産業分類表'!$E$2:$E$68)</f>
        <v>#N/A</v>
      </c>
      <c r="C171" s="343"/>
      <c r="D171" s="343"/>
      <c r="E171" s="343"/>
      <c r="F171" s="343"/>
      <c r="G171" s="341"/>
      <c r="H171" s="349"/>
      <c r="I171" s="343"/>
      <c r="J171" s="343"/>
      <c r="K171" s="342"/>
      <c r="L171" s="350"/>
      <c r="M171" s="351"/>
      <c r="N171" s="343"/>
      <c r="O171" s="354">
        <f t="shared" si="75"/>
      </c>
      <c r="P171" s="354">
        <f t="shared" si="76"/>
      </c>
      <c r="Q171" s="389"/>
      <c r="R171" s="376">
        <f t="shared" si="72"/>
      </c>
      <c r="S171" s="376">
        <f t="shared" si="73"/>
      </c>
      <c r="T171" s="352"/>
      <c r="U171" s="353"/>
      <c r="V171" s="352"/>
      <c r="W171" s="343"/>
      <c r="X171" s="388">
        <f t="shared" si="69"/>
      </c>
      <c r="Y171" s="375" t="e">
        <f t="shared" si="64"/>
        <v>#N/A</v>
      </c>
      <c r="Z171" s="375" t="e">
        <f t="shared" si="65"/>
        <v>#N/A</v>
      </c>
      <c r="AA171" s="375">
        <f t="shared" si="70"/>
      </c>
      <c r="AB171" s="377">
        <f t="shared" si="54"/>
        <v>1</v>
      </c>
      <c r="AC171" s="375" t="str">
        <f t="shared" si="55"/>
        <v> </v>
      </c>
      <c r="AD171" s="375" t="e">
        <f t="shared" si="56"/>
        <v>#N/A</v>
      </c>
      <c r="AE171" s="375" t="str">
        <f t="shared" si="57"/>
        <v> </v>
      </c>
      <c r="AF171" s="375" t="e">
        <f t="shared" si="66"/>
        <v>#N/A</v>
      </c>
      <c r="AG171" s="378" t="str">
        <f t="shared" si="58"/>
        <v> </v>
      </c>
      <c r="AH171" s="379" t="e">
        <f t="shared" si="59"/>
        <v>#VALUE!</v>
      </c>
      <c r="AI171" s="378" t="e">
        <f t="shared" si="77"/>
        <v>#VALUE!</v>
      </c>
      <c r="AJ171" s="375" t="e">
        <f t="shared" si="61"/>
        <v>#N/A</v>
      </c>
      <c r="AK171" s="375" t="e">
        <f>VLOOKUP(AJ171,'排出係数表'!$A$4:$C$202,2,FALSE)</f>
        <v>#N/A</v>
      </c>
      <c r="AL171" s="375" t="e">
        <f t="shared" si="67"/>
        <v>#N/A</v>
      </c>
      <c r="AM171" s="375" t="e">
        <f>VLOOKUP(AJ171,'排出係数表'!$A$4:$C$202,3,FALSE)</f>
        <v>#N/A</v>
      </c>
      <c r="AN171" s="375" t="e">
        <f t="shared" si="68"/>
        <v>#N/A</v>
      </c>
      <c r="AO171" s="375">
        <f t="shared" si="62"/>
      </c>
      <c r="AP171" s="379" t="str">
        <f t="shared" si="63"/>
        <v>-</v>
      </c>
      <c r="AQ171" s="375" t="e">
        <f t="shared" si="74"/>
        <v>#VALUE!</v>
      </c>
      <c r="AR171" s="375">
        <f t="shared" si="71"/>
      </c>
    </row>
    <row r="172" spans="1:44" s="380" customFormat="1" ht="13.5" customHeight="1">
      <c r="A172" s="375" t="str">
        <f>IF(ISBLANK(F172)=TRUE," ",IF(ISBLANK('様式2'!$C$23)=TRUE," ",'様式2'!$C$23))</f>
        <v> </v>
      </c>
      <c r="B172" s="375" t="e">
        <f>LOOKUP(LOOKUP(C172,'様式3'!$A$5:$A$44,'様式3'!$C$5:$C$44),'産業分類表'!$D$2:$D$68,'産業分類表'!$E$2:$E$68)</f>
        <v>#N/A</v>
      </c>
      <c r="C172" s="343"/>
      <c r="D172" s="343"/>
      <c r="E172" s="343"/>
      <c r="F172" s="343"/>
      <c r="G172" s="341"/>
      <c r="H172" s="349"/>
      <c r="I172" s="343"/>
      <c r="J172" s="343"/>
      <c r="K172" s="342"/>
      <c r="L172" s="350"/>
      <c r="M172" s="351"/>
      <c r="N172" s="343"/>
      <c r="O172" s="354">
        <f t="shared" si="75"/>
      </c>
      <c r="P172" s="354">
        <f t="shared" si="76"/>
      </c>
      <c r="Q172" s="389"/>
      <c r="R172" s="376">
        <f t="shared" si="72"/>
      </c>
      <c r="S172" s="376">
        <f t="shared" si="73"/>
      </c>
      <c r="T172" s="352"/>
      <c r="U172" s="353"/>
      <c r="V172" s="352"/>
      <c r="W172" s="343"/>
      <c r="X172" s="388">
        <f t="shared" si="69"/>
      </c>
      <c r="Y172" s="375" t="e">
        <f t="shared" si="64"/>
        <v>#N/A</v>
      </c>
      <c r="Z172" s="375" t="e">
        <f t="shared" si="65"/>
        <v>#N/A</v>
      </c>
      <c r="AA172" s="375">
        <f t="shared" si="70"/>
      </c>
      <c r="AB172" s="377">
        <f t="shared" si="54"/>
        <v>1</v>
      </c>
      <c r="AC172" s="375" t="str">
        <f t="shared" si="55"/>
        <v> </v>
      </c>
      <c r="AD172" s="375" t="e">
        <f t="shared" si="56"/>
        <v>#N/A</v>
      </c>
      <c r="AE172" s="375" t="str">
        <f t="shared" si="57"/>
        <v> </v>
      </c>
      <c r="AF172" s="375" t="e">
        <f t="shared" si="66"/>
        <v>#N/A</v>
      </c>
      <c r="AG172" s="378" t="str">
        <f t="shared" si="58"/>
        <v> </v>
      </c>
      <c r="AH172" s="379" t="e">
        <f t="shared" si="59"/>
        <v>#VALUE!</v>
      </c>
      <c r="AI172" s="378" t="e">
        <f t="shared" si="77"/>
        <v>#VALUE!</v>
      </c>
      <c r="AJ172" s="375" t="e">
        <f t="shared" si="61"/>
        <v>#N/A</v>
      </c>
      <c r="AK172" s="375" t="e">
        <f>VLOOKUP(AJ172,'排出係数表'!$A$4:$C$202,2,FALSE)</f>
        <v>#N/A</v>
      </c>
      <c r="AL172" s="375" t="e">
        <f t="shared" si="67"/>
        <v>#N/A</v>
      </c>
      <c r="AM172" s="375" t="e">
        <f>VLOOKUP(AJ172,'排出係数表'!$A$4:$C$202,3,FALSE)</f>
        <v>#N/A</v>
      </c>
      <c r="AN172" s="375" t="e">
        <f t="shared" si="68"/>
        <v>#N/A</v>
      </c>
      <c r="AO172" s="375">
        <f t="shared" si="62"/>
      </c>
      <c r="AP172" s="379" t="str">
        <f t="shared" si="63"/>
        <v>-</v>
      </c>
      <c r="AQ172" s="375" t="e">
        <f t="shared" si="74"/>
        <v>#VALUE!</v>
      </c>
      <c r="AR172" s="375">
        <f t="shared" si="71"/>
      </c>
    </row>
    <row r="173" spans="1:44" s="380" customFormat="1" ht="13.5" customHeight="1">
      <c r="A173" s="375" t="str">
        <f>IF(ISBLANK(F173)=TRUE," ",IF(ISBLANK('様式2'!$C$23)=TRUE," ",'様式2'!$C$23))</f>
        <v> </v>
      </c>
      <c r="B173" s="375" t="e">
        <f>LOOKUP(LOOKUP(C173,'様式3'!$A$5:$A$44,'様式3'!$C$5:$C$44),'産業分類表'!$D$2:$D$68,'産業分類表'!$E$2:$E$68)</f>
        <v>#N/A</v>
      </c>
      <c r="C173" s="343"/>
      <c r="D173" s="343"/>
      <c r="E173" s="343"/>
      <c r="F173" s="343"/>
      <c r="G173" s="341"/>
      <c r="H173" s="349"/>
      <c r="I173" s="343"/>
      <c r="J173" s="343"/>
      <c r="K173" s="342"/>
      <c r="L173" s="350"/>
      <c r="M173" s="351"/>
      <c r="N173" s="343"/>
      <c r="O173" s="354">
        <f t="shared" si="75"/>
      </c>
      <c r="P173" s="354">
        <f t="shared" si="76"/>
      </c>
      <c r="Q173" s="389"/>
      <c r="R173" s="376">
        <f t="shared" si="72"/>
      </c>
      <c r="S173" s="376">
        <f t="shared" si="73"/>
      </c>
      <c r="T173" s="352"/>
      <c r="U173" s="353"/>
      <c r="V173" s="352"/>
      <c r="W173" s="343"/>
      <c r="X173" s="388">
        <f t="shared" si="69"/>
      </c>
      <c r="Y173" s="375" t="e">
        <f t="shared" si="64"/>
        <v>#N/A</v>
      </c>
      <c r="Z173" s="375" t="e">
        <f t="shared" si="65"/>
        <v>#N/A</v>
      </c>
      <c r="AA173" s="375">
        <f t="shared" si="70"/>
      </c>
      <c r="AB173" s="377">
        <f t="shared" si="54"/>
        <v>1</v>
      </c>
      <c r="AC173" s="375" t="str">
        <f t="shared" si="55"/>
        <v> </v>
      </c>
      <c r="AD173" s="375" t="e">
        <f t="shared" si="56"/>
        <v>#N/A</v>
      </c>
      <c r="AE173" s="375" t="str">
        <f t="shared" si="57"/>
        <v> </v>
      </c>
      <c r="AF173" s="375" t="e">
        <f t="shared" si="66"/>
        <v>#N/A</v>
      </c>
      <c r="AG173" s="378" t="str">
        <f t="shared" si="58"/>
        <v> </v>
      </c>
      <c r="AH173" s="379" t="e">
        <f t="shared" si="59"/>
        <v>#VALUE!</v>
      </c>
      <c r="AI173" s="378" t="e">
        <f t="shared" si="77"/>
        <v>#VALUE!</v>
      </c>
      <c r="AJ173" s="375" t="e">
        <f t="shared" si="61"/>
        <v>#N/A</v>
      </c>
      <c r="AK173" s="375" t="e">
        <f>VLOOKUP(AJ173,'排出係数表'!$A$4:$C$202,2,FALSE)</f>
        <v>#N/A</v>
      </c>
      <c r="AL173" s="375" t="e">
        <f t="shared" si="67"/>
        <v>#N/A</v>
      </c>
      <c r="AM173" s="375" t="e">
        <f>VLOOKUP(AJ173,'排出係数表'!$A$4:$C$202,3,FALSE)</f>
        <v>#N/A</v>
      </c>
      <c r="AN173" s="375" t="e">
        <f t="shared" si="68"/>
        <v>#N/A</v>
      </c>
      <c r="AO173" s="375">
        <f t="shared" si="62"/>
      </c>
      <c r="AP173" s="379" t="str">
        <f t="shared" si="63"/>
        <v>-</v>
      </c>
      <c r="AQ173" s="375" t="e">
        <f t="shared" si="74"/>
        <v>#VALUE!</v>
      </c>
      <c r="AR173" s="375">
        <f t="shared" si="71"/>
      </c>
    </row>
    <row r="174" spans="1:44" s="380" customFormat="1" ht="13.5" customHeight="1">
      <c r="A174" s="375" t="str">
        <f>IF(ISBLANK(F174)=TRUE," ",IF(ISBLANK('様式2'!$C$23)=TRUE," ",'様式2'!$C$23))</f>
        <v> </v>
      </c>
      <c r="B174" s="375" t="e">
        <f>LOOKUP(LOOKUP(C174,'様式3'!$A$5:$A$44,'様式3'!$C$5:$C$44),'産業分類表'!$D$2:$D$68,'産業分類表'!$E$2:$E$68)</f>
        <v>#N/A</v>
      </c>
      <c r="C174" s="343"/>
      <c r="D174" s="343"/>
      <c r="E174" s="343"/>
      <c r="F174" s="343"/>
      <c r="G174" s="341"/>
      <c r="H174" s="349"/>
      <c r="I174" s="343"/>
      <c r="J174" s="343"/>
      <c r="K174" s="342"/>
      <c r="L174" s="350"/>
      <c r="M174" s="351"/>
      <c r="N174" s="343"/>
      <c r="O174" s="354">
        <f t="shared" si="75"/>
      </c>
      <c r="P174" s="354">
        <f t="shared" si="76"/>
      </c>
      <c r="Q174" s="389"/>
      <c r="R174" s="376">
        <f t="shared" si="72"/>
      </c>
      <c r="S174" s="376">
        <f t="shared" si="73"/>
      </c>
      <c r="T174" s="352"/>
      <c r="U174" s="353"/>
      <c r="V174" s="352"/>
      <c r="W174" s="343"/>
      <c r="X174" s="388">
        <f t="shared" si="69"/>
      </c>
      <c r="Y174" s="375" t="e">
        <f t="shared" si="64"/>
        <v>#N/A</v>
      </c>
      <c r="Z174" s="375" t="e">
        <f t="shared" si="65"/>
        <v>#N/A</v>
      </c>
      <c r="AA174" s="375">
        <f t="shared" si="70"/>
      </c>
      <c r="AB174" s="377">
        <f t="shared" si="54"/>
        <v>1</v>
      </c>
      <c r="AC174" s="375" t="str">
        <f t="shared" si="55"/>
        <v> </v>
      </c>
      <c r="AD174" s="375" t="e">
        <f t="shared" si="56"/>
        <v>#N/A</v>
      </c>
      <c r="AE174" s="375" t="str">
        <f t="shared" si="57"/>
        <v> </v>
      </c>
      <c r="AF174" s="375" t="e">
        <f t="shared" si="66"/>
        <v>#N/A</v>
      </c>
      <c r="AG174" s="378" t="str">
        <f t="shared" si="58"/>
        <v> </v>
      </c>
      <c r="AH174" s="379" t="e">
        <f t="shared" si="59"/>
        <v>#VALUE!</v>
      </c>
      <c r="AI174" s="378" t="e">
        <f t="shared" si="77"/>
        <v>#VALUE!</v>
      </c>
      <c r="AJ174" s="375" t="e">
        <f t="shared" si="61"/>
        <v>#N/A</v>
      </c>
      <c r="AK174" s="375" t="e">
        <f>VLOOKUP(AJ174,'排出係数表'!$A$4:$C$202,2,FALSE)</f>
        <v>#N/A</v>
      </c>
      <c r="AL174" s="375" t="e">
        <f t="shared" si="67"/>
        <v>#N/A</v>
      </c>
      <c r="AM174" s="375" t="e">
        <f>VLOOKUP(AJ174,'排出係数表'!$A$4:$C$202,3,FALSE)</f>
        <v>#N/A</v>
      </c>
      <c r="AN174" s="375" t="e">
        <f t="shared" si="68"/>
        <v>#N/A</v>
      </c>
      <c r="AO174" s="375">
        <f t="shared" si="62"/>
      </c>
      <c r="AP174" s="379" t="str">
        <f t="shared" si="63"/>
        <v>-</v>
      </c>
      <c r="AQ174" s="375" t="e">
        <f t="shared" si="74"/>
        <v>#VALUE!</v>
      </c>
      <c r="AR174" s="375">
        <f t="shared" si="71"/>
      </c>
    </row>
    <row r="175" spans="1:44" s="380" customFormat="1" ht="13.5" customHeight="1">
      <c r="A175" s="375" t="str">
        <f>IF(ISBLANK(F175)=TRUE," ",IF(ISBLANK('様式2'!$C$23)=TRUE," ",'様式2'!$C$23))</f>
        <v> </v>
      </c>
      <c r="B175" s="375" t="e">
        <f>LOOKUP(LOOKUP(C175,'様式3'!$A$5:$A$44,'様式3'!$C$5:$C$44),'産業分類表'!$D$2:$D$68,'産業分類表'!$E$2:$E$68)</f>
        <v>#N/A</v>
      </c>
      <c r="C175" s="343"/>
      <c r="D175" s="343"/>
      <c r="E175" s="343"/>
      <c r="F175" s="343"/>
      <c r="G175" s="341"/>
      <c r="H175" s="349"/>
      <c r="I175" s="343"/>
      <c r="J175" s="343"/>
      <c r="K175" s="342"/>
      <c r="L175" s="350"/>
      <c r="M175" s="351"/>
      <c r="N175" s="343"/>
      <c r="O175" s="354">
        <f t="shared" si="75"/>
      </c>
      <c r="P175" s="354">
        <f t="shared" si="76"/>
      </c>
      <c r="Q175" s="389"/>
      <c r="R175" s="376">
        <f t="shared" si="72"/>
      </c>
      <c r="S175" s="376">
        <f t="shared" si="73"/>
      </c>
      <c r="T175" s="352"/>
      <c r="U175" s="353"/>
      <c r="V175" s="352"/>
      <c r="W175" s="343"/>
      <c r="X175" s="388">
        <f t="shared" si="69"/>
      </c>
      <c r="Y175" s="375" t="e">
        <f t="shared" si="64"/>
        <v>#N/A</v>
      </c>
      <c r="Z175" s="375" t="e">
        <f t="shared" si="65"/>
        <v>#N/A</v>
      </c>
      <c r="AA175" s="375">
        <f t="shared" si="70"/>
      </c>
      <c r="AB175" s="377">
        <f t="shared" si="54"/>
        <v>1</v>
      </c>
      <c r="AC175" s="375" t="str">
        <f t="shared" si="55"/>
        <v> </v>
      </c>
      <c r="AD175" s="375" t="e">
        <f t="shared" si="56"/>
        <v>#N/A</v>
      </c>
      <c r="AE175" s="375" t="str">
        <f t="shared" si="57"/>
        <v> </v>
      </c>
      <c r="AF175" s="375" t="e">
        <f t="shared" si="66"/>
        <v>#N/A</v>
      </c>
      <c r="AG175" s="378" t="str">
        <f t="shared" si="58"/>
        <v> </v>
      </c>
      <c r="AH175" s="379" t="e">
        <f t="shared" si="59"/>
        <v>#VALUE!</v>
      </c>
      <c r="AI175" s="378" t="e">
        <f t="shared" si="77"/>
        <v>#VALUE!</v>
      </c>
      <c r="AJ175" s="375" t="e">
        <f t="shared" si="61"/>
        <v>#N/A</v>
      </c>
      <c r="AK175" s="375" t="e">
        <f>VLOOKUP(AJ175,'排出係数表'!$A$4:$C$202,2,FALSE)</f>
        <v>#N/A</v>
      </c>
      <c r="AL175" s="375" t="e">
        <f t="shared" si="67"/>
        <v>#N/A</v>
      </c>
      <c r="AM175" s="375" t="e">
        <f>VLOOKUP(AJ175,'排出係数表'!$A$4:$C$202,3,FALSE)</f>
        <v>#N/A</v>
      </c>
      <c r="AN175" s="375" t="e">
        <f t="shared" si="68"/>
        <v>#N/A</v>
      </c>
      <c r="AO175" s="375">
        <f t="shared" si="62"/>
      </c>
      <c r="AP175" s="379" t="str">
        <f t="shared" si="63"/>
        <v>-</v>
      </c>
      <c r="AQ175" s="375" t="e">
        <f t="shared" si="74"/>
        <v>#VALUE!</v>
      </c>
      <c r="AR175" s="375">
        <f t="shared" si="71"/>
      </c>
    </row>
    <row r="176" spans="1:44" s="380" customFormat="1" ht="13.5" customHeight="1">
      <c r="A176" s="375" t="str">
        <f>IF(ISBLANK(F176)=TRUE," ",IF(ISBLANK('様式2'!$C$23)=TRUE," ",'様式2'!$C$23))</f>
        <v> </v>
      </c>
      <c r="B176" s="375" t="e">
        <f>LOOKUP(LOOKUP(C176,'様式3'!$A$5:$A$44,'様式3'!$C$5:$C$44),'産業分類表'!$D$2:$D$68,'産業分類表'!$E$2:$E$68)</f>
        <v>#N/A</v>
      </c>
      <c r="C176" s="343"/>
      <c r="D176" s="343"/>
      <c r="E176" s="343"/>
      <c r="F176" s="343"/>
      <c r="G176" s="341"/>
      <c r="H176" s="349"/>
      <c r="I176" s="343"/>
      <c r="J176" s="343"/>
      <c r="K176" s="342"/>
      <c r="L176" s="350"/>
      <c r="M176" s="351"/>
      <c r="N176" s="343"/>
      <c r="O176" s="354">
        <f t="shared" si="75"/>
      </c>
      <c r="P176" s="354">
        <f t="shared" si="76"/>
      </c>
      <c r="Q176" s="389"/>
      <c r="R176" s="376">
        <f t="shared" si="72"/>
      </c>
      <c r="S176" s="376">
        <f t="shared" si="73"/>
      </c>
      <c r="T176" s="352"/>
      <c r="U176" s="353"/>
      <c r="V176" s="352"/>
      <c r="W176" s="343"/>
      <c r="X176" s="388">
        <f t="shared" si="69"/>
      </c>
      <c r="Y176" s="375" t="e">
        <f t="shared" si="64"/>
        <v>#N/A</v>
      </c>
      <c r="Z176" s="375" t="e">
        <f t="shared" si="65"/>
        <v>#N/A</v>
      </c>
      <c r="AA176" s="375">
        <f t="shared" si="70"/>
      </c>
      <c r="AB176" s="377">
        <f t="shared" si="54"/>
        <v>1</v>
      </c>
      <c r="AC176" s="375" t="str">
        <f t="shared" si="55"/>
        <v> </v>
      </c>
      <c r="AD176" s="375" t="e">
        <f t="shared" si="56"/>
        <v>#N/A</v>
      </c>
      <c r="AE176" s="375" t="str">
        <f t="shared" si="57"/>
        <v> </v>
      </c>
      <c r="AF176" s="375" t="e">
        <f t="shared" si="66"/>
        <v>#N/A</v>
      </c>
      <c r="AG176" s="378" t="str">
        <f t="shared" si="58"/>
        <v> </v>
      </c>
      <c r="AH176" s="379" t="e">
        <f t="shared" si="59"/>
        <v>#VALUE!</v>
      </c>
      <c r="AI176" s="378" t="e">
        <f t="shared" si="77"/>
        <v>#VALUE!</v>
      </c>
      <c r="AJ176" s="375" t="e">
        <f t="shared" si="61"/>
        <v>#N/A</v>
      </c>
      <c r="AK176" s="375" t="e">
        <f>VLOOKUP(AJ176,'排出係数表'!$A$4:$C$202,2,FALSE)</f>
        <v>#N/A</v>
      </c>
      <c r="AL176" s="375" t="e">
        <f t="shared" si="67"/>
        <v>#N/A</v>
      </c>
      <c r="AM176" s="375" t="e">
        <f>VLOOKUP(AJ176,'排出係数表'!$A$4:$C$202,3,FALSE)</f>
        <v>#N/A</v>
      </c>
      <c r="AN176" s="375" t="e">
        <f t="shared" si="68"/>
        <v>#N/A</v>
      </c>
      <c r="AO176" s="375">
        <f t="shared" si="62"/>
      </c>
      <c r="AP176" s="379" t="str">
        <f t="shared" si="63"/>
        <v>-</v>
      </c>
      <c r="AQ176" s="375" t="e">
        <f t="shared" si="74"/>
        <v>#VALUE!</v>
      </c>
      <c r="AR176" s="375">
        <f t="shared" si="71"/>
      </c>
    </row>
    <row r="177" spans="1:44" s="380" customFormat="1" ht="13.5" customHeight="1">
      <c r="A177" s="375" t="str">
        <f>IF(ISBLANK(F177)=TRUE," ",IF(ISBLANK('様式2'!$C$23)=TRUE," ",'様式2'!$C$23))</f>
        <v> </v>
      </c>
      <c r="B177" s="375" t="e">
        <f>LOOKUP(LOOKUP(C177,'様式3'!$A$5:$A$44,'様式3'!$C$5:$C$44),'産業分類表'!$D$2:$D$68,'産業分類表'!$E$2:$E$68)</f>
        <v>#N/A</v>
      </c>
      <c r="C177" s="343"/>
      <c r="D177" s="343"/>
      <c r="E177" s="343"/>
      <c r="F177" s="343"/>
      <c r="G177" s="341"/>
      <c r="H177" s="349"/>
      <c r="I177" s="343"/>
      <c r="J177" s="343"/>
      <c r="K177" s="342"/>
      <c r="L177" s="350"/>
      <c r="M177" s="351"/>
      <c r="N177" s="343"/>
      <c r="O177" s="354">
        <f t="shared" si="75"/>
      </c>
      <c r="P177" s="354">
        <f t="shared" si="76"/>
      </c>
      <c r="Q177" s="389"/>
      <c r="R177" s="376">
        <f t="shared" si="72"/>
      </c>
      <c r="S177" s="376">
        <f t="shared" si="73"/>
      </c>
      <c r="T177" s="352"/>
      <c r="U177" s="353"/>
      <c r="V177" s="352"/>
      <c r="W177" s="343"/>
      <c r="X177" s="388">
        <f t="shared" si="69"/>
      </c>
      <c r="Y177" s="375" t="e">
        <f t="shared" si="64"/>
        <v>#N/A</v>
      </c>
      <c r="Z177" s="375" t="e">
        <f t="shared" si="65"/>
        <v>#N/A</v>
      </c>
      <c r="AA177" s="375">
        <f t="shared" si="70"/>
      </c>
      <c r="AB177" s="377">
        <f t="shared" si="54"/>
        <v>1</v>
      </c>
      <c r="AC177" s="375" t="str">
        <f t="shared" si="55"/>
        <v> </v>
      </c>
      <c r="AD177" s="375" t="e">
        <f t="shared" si="56"/>
        <v>#N/A</v>
      </c>
      <c r="AE177" s="375" t="str">
        <f t="shared" si="57"/>
        <v> </v>
      </c>
      <c r="AF177" s="375" t="e">
        <f t="shared" si="66"/>
        <v>#N/A</v>
      </c>
      <c r="AG177" s="378" t="str">
        <f t="shared" si="58"/>
        <v> </v>
      </c>
      <c r="AH177" s="379" t="e">
        <f t="shared" si="59"/>
        <v>#VALUE!</v>
      </c>
      <c r="AI177" s="378" t="e">
        <f t="shared" si="77"/>
        <v>#VALUE!</v>
      </c>
      <c r="AJ177" s="375" t="e">
        <f t="shared" si="61"/>
        <v>#N/A</v>
      </c>
      <c r="AK177" s="375" t="e">
        <f>VLOOKUP(AJ177,'排出係数表'!$A$4:$C$202,2,FALSE)</f>
        <v>#N/A</v>
      </c>
      <c r="AL177" s="375" t="e">
        <f t="shared" si="67"/>
        <v>#N/A</v>
      </c>
      <c r="AM177" s="375" t="e">
        <f>VLOOKUP(AJ177,'排出係数表'!$A$4:$C$202,3,FALSE)</f>
        <v>#N/A</v>
      </c>
      <c r="AN177" s="375" t="e">
        <f t="shared" si="68"/>
        <v>#N/A</v>
      </c>
      <c r="AO177" s="375">
        <f t="shared" si="62"/>
      </c>
      <c r="AP177" s="379" t="str">
        <f t="shared" si="63"/>
        <v>-</v>
      </c>
      <c r="AQ177" s="375" t="e">
        <f t="shared" si="74"/>
        <v>#VALUE!</v>
      </c>
      <c r="AR177" s="375">
        <f t="shared" si="71"/>
      </c>
    </row>
    <row r="178" spans="1:44" s="380" customFormat="1" ht="13.5" customHeight="1">
      <c r="A178" s="375" t="str">
        <f>IF(ISBLANK(F178)=TRUE," ",IF(ISBLANK('様式2'!$C$23)=TRUE," ",'様式2'!$C$23))</f>
        <v> </v>
      </c>
      <c r="B178" s="375" t="e">
        <f>LOOKUP(LOOKUP(C178,'様式3'!$A$5:$A$44,'様式3'!$C$5:$C$44),'産業分類表'!$D$2:$D$68,'産業分類表'!$E$2:$E$68)</f>
        <v>#N/A</v>
      </c>
      <c r="C178" s="343"/>
      <c r="D178" s="343"/>
      <c r="E178" s="343"/>
      <c r="F178" s="343"/>
      <c r="G178" s="341"/>
      <c r="H178" s="349"/>
      <c r="I178" s="343"/>
      <c r="J178" s="343"/>
      <c r="K178" s="342"/>
      <c r="L178" s="350"/>
      <c r="M178" s="351"/>
      <c r="N178" s="343"/>
      <c r="O178" s="354">
        <f t="shared" si="75"/>
      </c>
      <c r="P178" s="354">
        <f t="shared" si="76"/>
      </c>
      <c r="Q178" s="389"/>
      <c r="R178" s="376">
        <f t="shared" si="72"/>
      </c>
      <c r="S178" s="376">
        <f t="shared" si="73"/>
      </c>
      <c r="T178" s="352"/>
      <c r="U178" s="353"/>
      <c r="V178" s="352"/>
      <c r="W178" s="343"/>
      <c r="X178" s="388">
        <f t="shared" si="69"/>
      </c>
      <c r="Y178" s="375" t="e">
        <f t="shared" si="64"/>
        <v>#N/A</v>
      </c>
      <c r="Z178" s="375" t="e">
        <f t="shared" si="65"/>
        <v>#N/A</v>
      </c>
      <c r="AA178" s="375">
        <f t="shared" si="70"/>
      </c>
      <c r="AB178" s="377">
        <f t="shared" si="54"/>
        <v>1</v>
      </c>
      <c r="AC178" s="375" t="str">
        <f t="shared" si="55"/>
        <v> </v>
      </c>
      <c r="AD178" s="375" t="e">
        <f t="shared" si="56"/>
        <v>#N/A</v>
      </c>
      <c r="AE178" s="375" t="str">
        <f t="shared" si="57"/>
        <v> </v>
      </c>
      <c r="AF178" s="375" t="e">
        <f t="shared" si="66"/>
        <v>#N/A</v>
      </c>
      <c r="AG178" s="378" t="str">
        <f t="shared" si="58"/>
        <v> </v>
      </c>
      <c r="AH178" s="379" t="e">
        <f t="shared" si="59"/>
        <v>#VALUE!</v>
      </c>
      <c r="AI178" s="378" t="e">
        <f t="shared" si="77"/>
        <v>#VALUE!</v>
      </c>
      <c r="AJ178" s="375" t="e">
        <f t="shared" si="61"/>
        <v>#N/A</v>
      </c>
      <c r="AK178" s="375" t="e">
        <f>VLOOKUP(AJ178,'排出係数表'!$A$4:$C$202,2,FALSE)</f>
        <v>#N/A</v>
      </c>
      <c r="AL178" s="375" t="e">
        <f t="shared" si="67"/>
        <v>#N/A</v>
      </c>
      <c r="AM178" s="375" t="e">
        <f>VLOOKUP(AJ178,'排出係数表'!$A$4:$C$202,3,FALSE)</f>
        <v>#N/A</v>
      </c>
      <c r="AN178" s="375" t="e">
        <f t="shared" si="68"/>
        <v>#N/A</v>
      </c>
      <c r="AO178" s="375">
        <f t="shared" si="62"/>
      </c>
      <c r="AP178" s="379" t="str">
        <f t="shared" si="63"/>
        <v>-</v>
      </c>
      <c r="AQ178" s="375" t="e">
        <f t="shared" si="74"/>
        <v>#VALUE!</v>
      </c>
      <c r="AR178" s="375">
        <f t="shared" si="71"/>
      </c>
    </row>
    <row r="179" spans="1:44" s="380" customFormat="1" ht="13.5" customHeight="1">
      <c r="A179" s="375" t="str">
        <f>IF(ISBLANK(F179)=TRUE," ",IF(ISBLANK('様式2'!$C$23)=TRUE," ",'様式2'!$C$23))</f>
        <v> </v>
      </c>
      <c r="B179" s="375" t="e">
        <f>LOOKUP(LOOKUP(C179,'様式3'!$A$5:$A$44,'様式3'!$C$5:$C$44),'産業分類表'!$D$2:$D$68,'産業分類表'!$E$2:$E$68)</f>
        <v>#N/A</v>
      </c>
      <c r="C179" s="343"/>
      <c r="D179" s="343"/>
      <c r="E179" s="343"/>
      <c r="F179" s="343"/>
      <c r="G179" s="341"/>
      <c r="H179" s="349"/>
      <c r="I179" s="343"/>
      <c r="J179" s="343"/>
      <c r="K179" s="342"/>
      <c r="L179" s="350"/>
      <c r="M179" s="351"/>
      <c r="N179" s="343"/>
      <c r="O179" s="354">
        <f t="shared" si="75"/>
      </c>
      <c r="P179" s="354">
        <f t="shared" si="76"/>
      </c>
      <c r="Q179" s="389"/>
      <c r="R179" s="376">
        <f t="shared" si="72"/>
      </c>
      <c r="S179" s="376">
        <f t="shared" si="73"/>
      </c>
      <c r="T179" s="352"/>
      <c r="U179" s="353"/>
      <c r="V179" s="352"/>
      <c r="W179" s="343"/>
      <c r="X179" s="388">
        <f t="shared" si="69"/>
      </c>
      <c r="Y179" s="375" t="e">
        <f t="shared" si="64"/>
        <v>#N/A</v>
      </c>
      <c r="Z179" s="375" t="e">
        <f t="shared" si="65"/>
        <v>#N/A</v>
      </c>
      <c r="AA179" s="375">
        <f t="shared" si="70"/>
      </c>
      <c r="AB179" s="377">
        <f t="shared" si="54"/>
        <v>1</v>
      </c>
      <c r="AC179" s="375" t="str">
        <f t="shared" si="55"/>
        <v> </v>
      </c>
      <c r="AD179" s="375" t="e">
        <f t="shared" si="56"/>
        <v>#N/A</v>
      </c>
      <c r="AE179" s="375" t="str">
        <f t="shared" si="57"/>
        <v> </v>
      </c>
      <c r="AF179" s="375" t="e">
        <f t="shared" si="66"/>
        <v>#N/A</v>
      </c>
      <c r="AG179" s="378" t="str">
        <f t="shared" si="58"/>
        <v> </v>
      </c>
      <c r="AH179" s="379" t="e">
        <f t="shared" si="59"/>
        <v>#VALUE!</v>
      </c>
      <c r="AI179" s="378" t="e">
        <f t="shared" si="77"/>
        <v>#VALUE!</v>
      </c>
      <c r="AJ179" s="375" t="e">
        <f t="shared" si="61"/>
        <v>#N/A</v>
      </c>
      <c r="AK179" s="375" t="e">
        <f>VLOOKUP(AJ179,'排出係数表'!$A$4:$C$202,2,FALSE)</f>
        <v>#N/A</v>
      </c>
      <c r="AL179" s="375" t="e">
        <f t="shared" si="67"/>
        <v>#N/A</v>
      </c>
      <c r="AM179" s="375" t="e">
        <f>VLOOKUP(AJ179,'排出係数表'!$A$4:$C$202,3,FALSE)</f>
        <v>#N/A</v>
      </c>
      <c r="AN179" s="375" t="e">
        <f t="shared" si="68"/>
        <v>#N/A</v>
      </c>
      <c r="AO179" s="375">
        <f t="shared" si="62"/>
      </c>
      <c r="AP179" s="379" t="str">
        <f t="shared" si="63"/>
        <v>-</v>
      </c>
      <c r="AQ179" s="375" t="e">
        <f t="shared" si="74"/>
        <v>#VALUE!</v>
      </c>
      <c r="AR179" s="375">
        <f t="shared" si="71"/>
      </c>
    </row>
    <row r="180" spans="1:44" s="380" customFormat="1" ht="13.5" customHeight="1">
      <c r="A180" s="375" t="str">
        <f>IF(ISBLANK(F180)=TRUE," ",IF(ISBLANK('様式2'!$C$23)=TRUE," ",'様式2'!$C$23))</f>
        <v> </v>
      </c>
      <c r="B180" s="375" t="e">
        <f>LOOKUP(LOOKUP(C180,'様式3'!$A$5:$A$44,'様式3'!$C$5:$C$44),'産業分類表'!$D$2:$D$68,'産業分類表'!$E$2:$E$68)</f>
        <v>#N/A</v>
      </c>
      <c r="C180" s="343"/>
      <c r="D180" s="343"/>
      <c r="E180" s="343"/>
      <c r="F180" s="343"/>
      <c r="G180" s="341"/>
      <c r="H180" s="349"/>
      <c r="I180" s="343"/>
      <c r="J180" s="343"/>
      <c r="K180" s="342"/>
      <c r="L180" s="350"/>
      <c r="M180" s="351"/>
      <c r="N180" s="343"/>
      <c r="O180" s="354">
        <f t="shared" si="75"/>
      </c>
      <c r="P180" s="354">
        <f t="shared" si="76"/>
      </c>
      <c r="Q180" s="389"/>
      <c r="R180" s="376">
        <f t="shared" si="72"/>
      </c>
      <c r="S180" s="376">
        <f t="shared" si="73"/>
      </c>
      <c r="T180" s="352"/>
      <c r="U180" s="353"/>
      <c r="V180" s="352"/>
      <c r="W180" s="343"/>
      <c r="X180" s="388">
        <f t="shared" si="69"/>
      </c>
      <c r="Y180" s="375" t="e">
        <f t="shared" si="64"/>
        <v>#N/A</v>
      </c>
      <c r="Z180" s="375" t="e">
        <f t="shared" si="65"/>
        <v>#N/A</v>
      </c>
      <c r="AA180" s="375">
        <f t="shared" si="70"/>
      </c>
      <c r="AB180" s="377">
        <f t="shared" si="54"/>
        <v>1</v>
      </c>
      <c r="AC180" s="375" t="str">
        <f t="shared" si="55"/>
        <v> </v>
      </c>
      <c r="AD180" s="375" t="e">
        <f t="shared" si="56"/>
        <v>#N/A</v>
      </c>
      <c r="AE180" s="375" t="str">
        <f t="shared" si="57"/>
        <v> </v>
      </c>
      <c r="AF180" s="375" t="e">
        <f t="shared" si="66"/>
        <v>#N/A</v>
      </c>
      <c r="AG180" s="378" t="str">
        <f t="shared" si="58"/>
        <v> </v>
      </c>
      <c r="AH180" s="379" t="e">
        <f t="shared" si="59"/>
        <v>#VALUE!</v>
      </c>
      <c r="AI180" s="378" t="e">
        <f t="shared" si="77"/>
        <v>#VALUE!</v>
      </c>
      <c r="AJ180" s="375" t="e">
        <f t="shared" si="61"/>
        <v>#N/A</v>
      </c>
      <c r="AK180" s="375" t="e">
        <f>VLOOKUP(AJ180,'排出係数表'!$A$4:$C$202,2,FALSE)</f>
        <v>#N/A</v>
      </c>
      <c r="AL180" s="375" t="e">
        <f t="shared" si="67"/>
        <v>#N/A</v>
      </c>
      <c r="AM180" s="375" t="e">
        <f>VLOOKUP(AJ180,'排出係数表'!$A$4:$C$202,3,FALSE)</f>
        <v>#N/A</v>
      </c>
      <c r="AN180" s="375" t="e">
        <f t="shared" si="68"/>
        <v>#N/A</v>
      </c>
      <c r="AO180" s="375">
        <f t="shared" si="62"/>
      </c>
      <c r="AP180" s="379" t="str">
        <f t="shared" si="63"/>
        <v>-</v>
      </c>
      <c r="AQ180" s="375" t="e">
        <f t="shared" si="74"/>
        <v>#VALUE!</v>
      </c>
      <c r="AR180" s="375">
        <f t="shared" si="71"/>
      </c>
    </row>
    <row r="181" spans="1:44" s="380" customFormat="1" ht="13.5" customHeight="1">
      <c r="A181" s="375" t="str">
        <f>IF(ISBLANK(F181)=TRUE," ",IF(ISBLANK('様式2'!$C$23)=TRUE," ",'様式2'!$C$23))</f>
        <v> </v>
      </c>
      <c r="B181" s="375" t="e">
        <f>LOOKUP(LOOKUP(C181,'様式3'!$A$5:$A$44,'様式3'!$C$5:$C$44),'産業分類表'!$D$2:$D$68,'産業分類表'!$E$2:$E$68)</f>
        <v>#N/A</v>
      </c>
      <c r="C181" s="343"/>
      <c r="D181" s="343"/>
      <c r="E181" s="343"/>
      <c r="F181" s="343"/>
      <c r="G181" s="341"/>
      <c r="H181" s="349"/>
      <c r="I181" s="343"/>
      <c r="J181" s="343"/>
      <c r="K181" s="342"/>
      <c r="L181" s="350"/>
      <c r="M181" s="351"/>
      <c r="N181" s="343"/>
      <c r="O181" s="354">
        <f t="shared" si="75"/>
      </c>
      <c r="P181" s="354">
        <f t="shared" si="76"/>
      </c>
      <c r="Q181" s="389"/>
      <c r="R181" s="376">
        <f t="shared" si="72"/>
      </c>
      <c r="S181" s="376">
        <f t="shared" si="73"/>
      </c>
      <c r="T181" s="352"/>
      <c r="U181" s="353"/>
      <c r="V181" s="352"/>
      <c r="W181" s="343"/>
      <c r="X181" s="388">
        <f t="shared" si="69"/>
      </c>
      <c r="Y181" s="375" t="e">
        <f t="shared" si="64"/>
        <v>#N/A</v>
      </c>
      <c r="Z181" s="375" t="e">
        <f t="shared" si="65"/>
        <v>#N/A</v>
      </c>
      <c r="AA181" s="375">
        <f t="shared" si="70"/>
      </c>
      <c r="AB181" s="377">
        <f t="shared" si="54"/>
        <v>1</v>
      </c>
      <c r="AC181" s="375" t="str">
        <f t="shared" si="55"/>
        <v> </v>
      </c>
      <c r="AD181" s="375" t="e">
        <f t="shared" si="56"/>
        <v>#N/A</v>
      </c>
      <c r="AE181" s="375" t="str">
        <f t="shared" si="57"/>
        <v> </v>
      </c>
      <c r="AF181" s="375" t="e">
        <f t="shared" si="66"/>
        <v>#N/A</v>
      </c>
      <c r="AG181" s="378" t="str">
        <f t="shared" si="58"/>
        <v> </v>
      </c>
      <c r="AH181" s="379" t="e">
        <f t="shared" si="59"/>
        <v>#VALUE!</v>
      </c>
      <c r="AI181" s="378" t="e">
        <f t="shared" si="77"/>
        <v>#VALUE!</v>
      </c>
      <c r="AJ181" s="375" t="e">
        <f t="shared" si="61"/>
        <v>#N/A</v>
      </c>
      <c r="AK181" s="375" t="e">
        <f>VLOOKUP(AJ181,'排出係数表'!$A$4:$C$202,2,FALSE)</f>
        <v>#N/A</v>
      </c>
      <c r="AL181" s="375" t="e">
        <f t="shared" si="67"/>
        <v>#N/A</v>
      </c>
      <c r="AM181" s="375" t="e">
        <f>VLOOKUP(AJ181,'排出係数表'!$A$4:$C$202,3,FALSE)</f>
        <v>#N/A</v>
      </c>
      <c r="AN181" s="375" t="e">
        <f t="shared" si="68"/>
        <v>#N/A</v>
      </c>
      <c r="AO181" s="375">
        <f t="shared" si="62"/>
      </c>
      <c r="AP181" s="379" t="str">
        <f t="shared" si="63"/>
        <v>-</v>
      </c>
      <c r="AQ181" s="375" t="e">
        <f t="shared" si="74"/>
        <v>#VALUE!</v>
      </c>
      <c r="AR181" s="375">
        <f t="shared" si="71"/>
      </c>
    </row>
    <row r="182" spans="1:44" s="380" customFormat="1" ht="13.5" customHeight="1">
      <c r="A182" s="375" t="str">
        <f>IF(ISBLANK(F182)=TRUE," ",IF(ISBLANK('様式2'!$C$23)=TRUE," ",'様式2'!$C$23))</f>
        <v> </v>
      </c>
      <c r="B182" s="375" t="e">
        <f>LOOKUP(LOOKUP(C182,'様式3'!$A$5:$A$44,'様式3'!$C$5:$C$44),'産業分類表'!$D$2:$D$68,'産業分類表'!$E$2:$E$68)</f>
        <v>#N/A</v>
      </c>
      <c r="C182" s="343"/>
      <c r="D182" s="343"/>
      <c r="E182" s="343"/>
      <c r="F182" s="343"/>
      <c r="G182" s="341"/>
      <c r="H182" s="349"/>
      <c r="I182" s="343"/>
      <c r="J182" s="343"/>
      <c r="K182" s="342"/>
      <c r="L182" s="350"/>
      <c r="M182" s="351"/>
      <c r="N182" s="343"/>
      <c r="O182" s="354">
        <f t="shared" si="75"/>
      </c>
      <c r="P182" s="354">
        <f t="shared" si="76"/>
      </c>
      <c r="Q182" s="389"/>
      <c r="R182" s="376">
        <f t="shared" si="72"/>
      </c>
      <c r="S182" s="376">
        <f t="shared" si="73"/>
      </c>
      <c r="T182" s="352"/>
      <c r="U182" s="353"/>
      <c r="V182" s="352"/>
      <c r="W182" s="343"/>
      <c r="X182" s="388">
        <f t="shared" si="69"/>
      </c>
      <c r="Y182" s="375" t="e">
        <f t="shared" si="64"/>
        <v>#N/A</v>
      </c>
      <c r="Z182" s="375" t="e">
        <f t="shared" si="65"/>
        <v>#N/A</v>
      </c>
      <c r="AA182" s="375">
        <f t="shared" si="70"/>
      </c>
      <c r="AB182" s="377">
        <f t="shared" si="54"/>
        <v>1</v>
      </c>
      <c r="AC182" s="375" t="str">
        <f t="shared" si="55"/>
        <v> </v>
      </c>
      <c r="AD182" s="375" t="e">
        <f t="shared" si="56"/>
        <v>#N/A</v>
      </c>
      <c r="AE182" s="375" t="str">
        <f t="shared" si="57"/>
        <v> </v>
      </c>
      <c r="AF182" s="375" t="e">
        <f t="shared" si="66"/>
        <v>#N/A</v>
      </c>
      <c r="AG182" s="378" t="str">
        <f t="shared" si="58"/>
        <v> </v>
      </c>
      <c r="AH182" s="379" t="e">
        <f t="shared" si="59"/>
        <v>#VALUE!</v>
      </c>
      <c r="AI182" s="378" t="e">
        <f t="shared" si="77"/>
        <v>#VALUE!</v>
      </c>
      <c r="AJ182" s="375" t="e">
        <f t="shared" si="61"/>
        <v>#N/A</v>
      </c>
      <c r="AK182" s="375" t="e">
        <f>VLOOKUP(AJ182,'排出係数表'!$A$4:$C$202,2,FALSE)</f>
        <v>#N/A</v>
      </c>
      <c r="AL182" s="375" t="e">
        <f t="shared" si="67"/>
        <v>#N/A</v>
      </c>
      <c r="AM182" s="375" t="e">
        <f>VLOOKUP(AJ182,'排出係数表'!$A$4:$C$202,3,FALSE)</f>
        <v>#N/A</v>
      </c>
      <c r="AN182" s="375" t="e">
        <f t="shared" si="68"/>
        <v>#N/A</v>
      </c>
      <c r="AO182" s="375">
        <f t="shared" si="62"/>
      </c>
      <c r="AP182" s="379" t="str">
        <f t="shared" si="63"/>
        <v>-</v>
      </c>
      <c r="AQ182" s="375" t="e">
        <f t="shared" si="74"/>
        <v>#VALUE!</v>
      </c>
      <c r="AR182" s="375">
        <f t="shared" si="71"/>
      </c>
    </row>
    <row r="183" spans="1:44" s="380" customFormat="1" ht="13.5" customHeight="1">
      <c r="A183" s="375" t="str">
        <f>IF(ISBLANK(F183)=TRUE," ",IF(ISBLANK('様式2'!$C$23)=TRUE," ",'様式2'!$C$23))</f>
        <v> </v>
      </c>
      <c r="B183" s="375" t="e">
        <f>LOOKUP(LOOKUP(C183,'様式3'!$A$5:$A$44,'様式3'!$C$5:$C$44),'産業分類表'!$D$2:$D$68,'産業分類表'!$E$2:$E$68)</f>
        <v>#N/A</v>
      </c>
      <c r="C183" s="343"/>
      <c r="D183" s="343"/>
      <c r="E183" s="343"/>
      <c r="F183" s="343"/>
      <c r="G183" s="341"/>
      <c r="H183" s="349"/>
      <c r="I183" s="343"/>
      <c r="J183" s="343"/>
      <c r="K183" s="342"/>
      <c r="L183" s="350"/>
      <c r="M183" s="351"/>
      <c r="N183" s="343"/>
      <c r="O183" s="354">
        <f t="shared" si="75"/>
      </c>
      <c r="P183" s="354">
        <f t="shared" si="76"/>
      </c>
      <c r="Q183" s="389"/>
      <c r="R183" s="376">
        <f t="shared" si="72"/>
      </c>
      <c r="S183" s="376">
        <f t="shared" si="73"/>
      </c>
      <c r="T183" s="352"/>
      <c r="U183" s="353"/>
      <c r="V183" s="352"/>
      <c r="W183" s="343"/>
      <c r="X183" s="388">
        <f t="shared" si="69"/>
      </c>
      <c r="Y183" s="375" t="e">
        <f t="shared" si="64"/>
        <v>#N/A</v>
      </c>
      <c r="Z183" s="375" t="e">
        <f t="shared" si="65"/>
        <v>#N/A</v>
      </c>
      <c r="AA183" s="375">
        <f t="shared" si="70"/>
      </c>
      <c r="AB183" s="377">
        <f t="shared" si="54"/>
        <v>1</v>
      </c>
      <c r="AC183" s="375" t="str">
        <f t="shared" si="55"/>
        <v> </v>
      </c>
      <c r="AD183" s="375" t="e">
        <f t="shared" si="56"/>
        <v>#N/A</v>
      </c>
      <c r="AE183" s="375" t="str">
        <f t="shared" si="57"/>
        <v> </v>
      </c>
      <c r="AF183" s="375" t="e">
        <f t="shared" si="66"/>
        <v>#N/A</v>
      </c>
      <c r="AG183" s="378" t="str">
        <f t="shared" si="58"/>
        <v> </v>
      </c>
      <c r="AH183" s="379" t="e">
        <f t="shared" si="59"/>
        <v>#VALUE!</v>
      </c>
      <c r="AI183" s="378" t="e">
        <f t="shared" si="77"/>
        <v>#VALUE!</v>
      </c>
      <c r="AJ183" s="375" t="e">
        <f t="shared" si="61"/>
        <v>#N/A</v>
      </c>
      <c r="AK183" s="375" t="e">
        <f>VLOOKUP(AJ183,'排出係数表'!$A$4:$C$202,2,FALSE)</f>
        <v>#N/A</v>
      </c>
      <c r="AL183" s="375" t="e">
        <f t="shared" si="67"/>
        <v>#N/A</v>
      </c>
      <c r="AM183" s="375" t="e">
        <f>VLOOKUP(AJ183,'排出係数表'!$A$4:$C$202,3,FALSE)</f>
        <v>#N/A</v>
      </c>
      <c r="AN183" s="375" t="e">
        <f t="shared" si="68"/>
        <v>#N/A</v>
      </c>
      <c r="AO183" s="375">
        <f t="shared" si="62"/>
      </c>
      <c r="AP183" s="379" t="str">
        <f t="shared" si="63"/>
        <v>-</v>
      </c>
      <c r="AQ183" s="375" t="e">
        <f t="shared" si="74"/>
        <v>#VALUE!</v>
      </c>
      <c r="AR183" s="375">
        <f t="shared" si="71"/>
      </c>
    </row>
    <row r="184" spans="1:44" s="380" customFormat="1" ht="13.5" customHeight="1">
      <c r="A184" s="375" t="str">
        <f>IF(ISBLANK(F184)=TRUE," ",IF(ISBLANK('様式2'!$C$23)=TRUE," ",'様式2'!$C$23))</f>
        <v> </v>
      </c>
      <c r="B184" s="375" t="e">
        <f>LOOKUP(LOOKUP(C184,'様式3'!$A$5:$A$44,'様式3'!$C$5:$C$44),'産業分類表'!$D$2:$D$68,'産業分類表'!$E$2:$E$68)</f>
        <v>#N/A</v>
      </c>
      <c r="C184" s="343"/>
      <c r="D184" s="343"/>
      <c r="E184" s="343"/>
      <c r="F184" s="343"/>
      <c r="G184" s="341"/>
      <c r="H184" s="349"/>
      <c r="I184" s="343"/>
      <c r="J184" s="343"/>
      <c r="K184" s="342"/>
      <c r="L184" s="350"/>
      <c r="M184" s="351"/>
      <c r="N184" s="343"/>
      <c r="O184" s="354">
        <f t="shared" si="75"/>
      </c>
      <c r="P184" s="354">
        <f t="shared" si="76"/>
      </c>
      <c r="Q184" s="389"/>
      <c r="R184" s="376">
        <f t="shared" si="72"/>
      </c>
      <c r="S184" s="376">
        <f t="shared" si="73"/>
      </c>
      <c r="T184" s="352"/>
      <c r="U184" s="353"/>
      <c r="V184" s="352"/>
      <c r="W184" s="343"/>
      <c r="X184" s="388">
        <f t="shared" si="69"/>
      </c>
      <c r="Y184" s="375" t="e">
        <f t="shared" si="64"/>
        <v>#N/A</v>
      </c>
      <c r="Z184" s="375" t="e">
        <f t="shared" si="65"/>
        <v>#N/A</v>
      </c>
      <c r="AA184" s="375">
        <f t="shared" si="70"/>
      </c>
      <c r="AB184" s="377">
        <f t="shared" si="54"/>
        <v>1</v>
      </c>
      <c r="AC184" s="375" t="str">
        <f t="shared" si="55"/>
        <v> </v>
      </c>
      <c r="AD184" s="375" t="e">
        <f t="shared" si="56"/>
        <v>#N/A</v>
      </c>
      <c r="AE184" s="375" t="str">
        <f t="shared" si="57"/>
        <v> </v>
      </c>
      <c r="AF184" s="375" t="e">
        <f t="shared" si="66"/>
        <v>#N/A</v>
      </c>
      <c r="AG184" s="378" t="str">
        <f t="shared" si="58"/>
        <v> </v>
      </c>
      <c r="AH184" s="379" t="e">
        <f t="shared" si="59"/>
        <v>#VALUE!</v>
      </c>
      <c r="AI184" s="378" t="e">
        <f t="shared" si="77"/>
        <v>#VALUE!</v>
      </c>
      <c r="AJ184" s="375" t="e">
        <f t="shared" si="61"/>
        <v>#N/A</v>
      </c>
      <c r="AK184" s="375" t="e">
        <f>VLOOKUP(AJ184,'排出係数表'!$A$4:$C$202,2,FALSE)</f>
        <v>#N/A</v>
      </c>
      <c r="AL184" s="375" t="e">
        <f t="shared" si="67"/>
        <v>#N/A</v>
      </c>
      <c r="AM184" s="375" t="e">
        <f>VLOOKUP(AJ184,'排出係数表'!$A$4:$C$202,3,FALSE)</f>
        <v>#N/A</v>
      </c>
      <c r="AN184" s="375" t="e">
        <f t="shared" si="68"/>
        <v>#N/A</v>
      </c>
      <c r="AO184" s="375">
        <f t="shared" si="62"/>
      </c>
      <c r="AP184" s="379" t="str">
        <f t="shared" si="63"/>
        <v>-</v>
      </c>
      <c r="AQ184" s="375" t="e">
        <f t="shared" si="74"/>
        <v>#VALUE!</v>
      </c>
      <c r="AR184" s="375">
        <f t="shared" si="71"/>
      </c>
    </row>
    <row r="185" spans="1:44" s="380" customFormat="1" ht="13.5" customHeight="1">
      <c r="A185" s="375" t="str">
        <f>IF(ISBLANK(F185)=TRUE," ",IF(ISBLANK('様式2'!$C$23)=TRUE," ",'様式2'!$C$23))</f>
        <v> </v>
      </c>
      <c r="B185" s="375" t="e">
        <f>LOOKUP(LOOKUP(C185,'様式3'!$A$5:$A$44,'様式3'!$C$5:$C$44),'産業分類表'!$D$2:$D$68,'産業分類表'!$E$2:$E$68)</f>
        <v>#N/A</v>
      </c>
      <c r="C185" s="343"/>
      <c r="D185" s="343"/>
      <c r="E185" s="343"/>
      <c r="F185" s="343"/>
      <c r="G185" s="341"/>
      <c r="H185" s="349"/>
      <c r="I185" s="343"/>
      <c r="J185" s="343"/>
      <c r="K185" s="342"/>
      <c r="L185" s="350"/>
      <c r="M185" s="351"/>
      <c r="N185" s="343"/>
      <c r="O185" s="354">
        <f t="shared" si="75"/>
      </c>
      <c r="P185" s="354">
        <f t="shared" si="76"/>
      </c>
      <c r="Q185" s="389"/>
      <c r="R185" s="376">
        <f t="shared" si="72"/>
      </c>
      <c r="S185" s="376">
        <f t="shared" si="73"/>
      </c>
      <c r="T185" s="352"/>
      <c r="U185" s="353"/>
      <c r="V185" s="352"/>
      <c r="W185" s="343"/>
      <c r="X185" s="388">
        <f t="shared" si="69"/>
      </c>
      <c r="Y185" s="375" t="e">
        <f t="shared" si="64"/>
        <v>#N/A</v>
      </c>
      <c r="Z185" s="375" t="e">
        <f t="shared" si="65"/>
        <v>#N/A</v>
      </c>
      <c r="AA185" s="375">
        <f t="shared" si="70"/>
      </c>
      <c r="AB185" s="377">
        <f t="shared" si="54"/>
        <v>1</v>
      </c>
      <c r="AC185" s="375" t="str">
        <f t="shared" si="55"/>
        <v> </v>
      </c>
      <c r="AD185" s="375" t="e">
        <f t="shared" si="56"/>
        <v>#N/A</v>
      </c>
      <c r="AE185" s="375" t="str">
        <f t="shared" si="57"/>
        <v> </v>
      </c>
      <c r="AF185" s="375" t="e">
        <f t="shared" si="66"/>
        <v>#N/A</v>
      </c>
      <c r="AG185" s="378" t="str">
        <f t="shared" si="58"/>
        <v> </v>
      </c>
      <c r="AH185" s="379" t="e">
        <f t="shared" si="59"/>
        <v>#VALUE!</v>
      </c>
      <c r="AI185" s="378" t="e">
        <f t="shared" si="77"/>
        <v>#VALUE!</v>
      </c>
      <c r="AJ185" s="375" t="e">
        <f t="shared" si="61"/>
        <v>#N/A</v>
      </c>
      <c r="AK185" s="375" t="e">
        <f>VLOOKUP(AJ185,'排出係数表'!$A$4:$C$202,2,FALSE)</f>
        <v>#N/A</v>
      </c>
      <c r="AL185" s="375" t="e">
        <f t="shared" si="67"/>
        <v>#N/A</v>
      </c>
      <c r="AM185" s="375" t="e">
        <f>VLOOKUP(AJ185,'排出係数表'!$A$4:$C$202,3,FALSE)</f>
        <v>#N/A</v>
      </c>
      <c r="AN185" s="375" t="e">
        <f t="shared" si="68"/>
        <v>#N/A</v>
      </c>
      <c r="AO185" s="375">
        <f t="shared" si="62"/>
      </c>
      <c r="AP185" s="379" t="str">
        <f t="shared" si="63"/>
        <v>-</v>
      </c>
      <c r="AQ185" s="375" t="e">
        <f t="shared" si="74"/>
        <v>#VALUE!</v>
      </c>
      <c r="AR185" s="375">
        <f t="shared" si="71"/>
      </c>
    </row>
    <row r="186" spans="1:44" s="380" customFormat="1" ht="13.5" customHeight="1">
      <c r="A186" s="375" t="str">
        <f>IF(ISBLANK(F186)=TRUE," ",IF(ISBLANK('様式2'!$C$23)=TRUE," ",'様式2'!$C$23))</f>
        <v> </v>
      </c>
      <c r="B186" s="375" t="e">
        <f>LOOKUP(LOOKUP(C186,'様式3'!$A$5:$A$44,'様式3'!$C$5:$C$44),'産業分類表'!$D$2:$D$68,'産業分類表'!$E$2:$E$68)</f>
        <v>#N/A</v>
      </c>
      <c r="C186" s="343"/>
      <c r="D186" s="343"/>
      <c r="E186" s="343"/>
      <c r="F186" s="343"/>
      <c r="G186" s="341"/>
      <c r="H186" s="349"/>
      <c r="I186" s="343"/>
      <c r="J186" s="343"/>
      <c r="K186" s="342"/>
      <c r="L186" s="350"/>
      <c r="M186" s="351"/>
      <c r="N186" s="343"/>
      <c r="O186" s="354">
        <f t="shared" si="75"/>
      </c>
      <c r="P186" s="354">
        <f t="shared" si="76"/>
      </c>
      <c r="Q186" s="389"/>
      <c r="R186" s="376">
        <f t="shared" si="72"/>
      </c>
      <c r="S186" s="376">
        <f t="shared" si="73"/>
      </c>
      <c r="T186" s="352"/>
      <c r="U186" s="353"/>
      <c r="V186" s="352"/>
      <c r="W186" s="343"/>
      <c r="X186" s="388">
        <f t="shared" si="69"/>
      </c>
      <c r="Y186" s="375" t="e">
        <f t="shared" si="64"/>
        <v>#N/A</v>
      </c>
      <c r="Z186" s="375" t="e">
        <f t="shared" si="65"/>
        <v>#N/A</v>
      </c>
      <c r="AA186" s="375">
        <f t="shared" si="70"/>
      </c>
      <c r="AB186" s="377">
        <f t="shared" si="54"/>
        <v>1</v>
      </c>
      <c r="AC186" s="375" t="str">
        <f t="shared" si="55"/>
        <v> </v>
      </c>
      <c r="AD186" s="375" t="e">
        <f t="shared" si="56"/>
        <v>#N/A</v>
      </c>
      <c r="AE186" s="375" t="str">
        <f t="shared" si="57"/>
        <v> </v>
      </c>
      <c r="AF186" s="375" t="e">
        <f t="shared" si="66"/>
        <v>#N/A</v>
      </c>
      <c r="AG186" s="378" t="str">
        <f t="shared" si="58"/>
        <v> </v>
      </c>
      <c r="AH186" s="379" t="e">
        <f t="shared" si="59"/>
        <v>#VALUE!</v>
      </c>
      <c r="AI186" s="378" t="e">
        <f t="shared" si="77"/>
        <v>#VALUE!</v>
      </c>
      <c r="AJ186" s="375" t="e">
        <f t="shared" si="61"/>
        <v>#N/A</v>
      </c>
      <c r="AK186" s="375" t="e">
        <f>VLOOKUP(AJ186,'排出係数表'!$A$4:$C$202,2,FALSE)</f>
        <v>#N/A</v>
      </c>
      <c r="AL186" s="375" t="e">
        <f t="shared" si="67"/>
        <v>#N/A</v>
      </c>
      <c r="AM186" s="375" t="e">
        <f>VLOOKUP(AJ186,'排出係数表'!$A$4:$C$202,3,FALSE)</f>
        <v>#N/A</v>
      </c>
      <c r="AN186" s="375" t="e">
        <f t="shared" si="68"/>
        <v>#N/A</v>
      </c>
      <c r="AO186" s="375">
        <f t="shared" si="62"/>
      </c>
      <c r="AP186" s="379" t="str">
        <f t="shared" si="63"/>
        <v>-</v>
      </c>
      <c r="AQ186" s="375" t="e">
        <f t="shared" si="74"/>
        <v>#VALUE!</v>
      </c>
      <c r="AR186" s="375">
        <f t="shared" si="71"/>
      </c>
    </row>
    <row r="187" spans="1:44" s="380" customFormat="1" ht="13.5" customHeight="1">
      <c r="A187" s="375" t="str">
        <f>IF(ISBLANK(F187)=TRUE," ",IF(ISBLANK('様式2'!$C$23)=TRUE," ",'様式2'!$C$23))</f>
        <v> </v>
      </c>
      <c r="B187" s="375" t="e">
        <f>LOOKUP(LOOKUP(C187,'様式3'!$A$5:$A$44,'様式3'!$C$5:$C$44),'産業分類表'!$D$2:$D$68,'産業分類表'!$E$2:$E$68)</f>
        <v>#N/A</v>
      </c>
      <c r="C187" s="343"/>
      <c r="D187" s="343"/>
      <c r="E187" s="343"/>
      <c r="F187" s="343"/>
      <c r="G187" s="341"/>
      <c r="H187" s="349"/>
      <c r="I187" s="343"/>
      <c r="J187" s="343"/>
      <c r="K187" s="342"/>
      <c r="L187" s="350"/>
      <c r="M187" s="351"/>
      <c r="N187" s="343"/>
      <c r="O187" s="354">
        <f t="shared" si="75"/>
      </c>
      <c r="P187" s="354">
        <f t="shared" si="76"/>
      </c>
      <c r="Q187" s="389"/>
      <c r="R187" s="376">
        <f t="shared" si="72"/>
      </c>
      <c r="S187" s="376">
        <f t="shared" si="73"/>
      </c>
      <c r="T187" s="352"/>
      <c r="U187" s="353"/>
      <c r="V187" s="352"/>
      <c r="W187" s="343"/>
      <c r="X187" s="388">
        <f t="shared" si="69"/>
      </c>
      <c r="Y187" s="375" t="e">
        <f t="shared" si="64"/>
        <v>#N/A</v>
      </c>
      <c r="Z187" s="375" t="e">
        <f t="shared" si="65"/>
        <v>#N/A</v>
      </c>
      <c r="AA187" s="375">
        <f t="shared" si="70"/>
      </c>
      <c r="AB187" s="377">
        <f t="shared" si="54"/>
        <v>1</v>
      </c>
      <c r="AC187" s="375" t="str">
        <f t="shared" si="55"/>
        <v> </v>
      </c>
      <c r="AD187" s="375" t="e">
        <f t="shared" si="56"/>
        <v>#N/A</v>
      </c>
      <c r="AE187" s="375" t="str">
        <f t="shared" si="57"/>
        <v> </v>
      </c>
      <c r="AF187" s="375" t="e">
        <f t="shared" si="66"/>
        <v>#N/A</v>
      </c>
      <c r="AG187" s="378" t="str">
        <f t="shared" si="58"/>
        <v> </v>
      </c>
      <c r="AH187" s="379" t="e">
        <f t="shared" si="59"/>
        <v>#VALUE!</v>
      </c>
      <c r="AI187" s="378" t="e">
        <f t="shared" si="77"/>
        <v>#VALUE!</v>
      </c>
      <c r="AJ187" s="375" t="e">
        <f t="shared" si="61"/>
        <v>#N/A</v>
      </c>
      <c r="AK187" s="375" t="e">
        <f>VLOOKUP(AJ187,'排出係数表'!$A$4:$C$202,2,FALSE)</f>
        <v>#N/A</v>
      </c>
      <c r="AL187" s="375" t="e">
        <f t="shared" si="67"/>
        <v>#N/A</v>
      </c>
      <c r="AM187" s="375" t="e">
        <f>VLOOKUP(AJ187,'排出係数表'!$A$4:$C$202,3,FALSE)</f>
        <v>#N/A</v>
      </c>
      <c r="AN187" s="375" t="e">
        <f t="shared" si="68"/>
        <v>#N/A</v>
      </c>
      <c r="AO187" s="375">
        <f t="shared" si="62"/>
      </c>
      <c r="AP187" s="379" t="str">
        <f t="shared" si="63"/>
        <v>-</v>
      </c>
      <c r="AQ187" s="375" t="e">
        <f t="shared" si="74"/>
        <v>#VALUE!</v>
      </c>
      <c r="AR187" s="375">
        <f t="shared" si="71"/>
      </c>
    </row>
    <row r="188" spans="1:44" s="380" customFormat="1" ht="13.5" customHeight="1">
      <c r="A188" s="375" t="str">
        <f>IF(ISBLANK(F188)=TRUE," ",IF(ISBLANK('様式2'!$C$23)=TRUE," ",'様式2'!$C$23))</f>
        <v> </v>
      </c>
      <c r="B188" s="375" t="e">
        <f>LOOKUP(LOOKUP(C188,'様式3'!$A$5:$A$44,'様式3'!$C$5:$C$44),'産業分類表'!$D$2:$D$68,'産業分類表'!$E$2:$E$68)</f>
        <v>#N/A</v>
      </c>
      <c r="C188" s="343"/>
      <c r="D188" s="343"/>
      <c r="E188" s="343"/>
      <c r="F188" s="343"/>
      <c r="G188" s="341"/>
      <c r="H188" s="349"/>
      <c r="I188" s="343"/>
      <c r="J188" s="343"/>
      <c r="K188" s="342"/>
      <c r="L188" s="350"/>
      <c r="M188" s="351"/>
      <c r="N188" s="343"/>
      <c r="O188" s="354">
        <f t="shared" si="75"/>
      </c>
      <c r="P188" s="354">
        <f t="shared" si="76"/>
      </c>
      <c r="Q188" s="389"/>
      <c r="R188" s="376">
        <f t="shared" si="72"/>
      </c>
      <c r="S188" s="376">
        <f t="shared" si="73"/>
      </c>
      <c r="T188" s="352"/>
      <c r="U188" s="353"/>
      <c r="V188" s="352"/>
      <c r="W188" s="343"/>
      <c r="X188" s="388">
        <f t="shared" si="69"/>
      </c>
      <c r="Y188" s="375" t="e">
        <f t="shared" si="64"/>
        <v>#N/A</v>
      </c>
      <c r="Z188" s="375" t="e">
        <f t="shared" si="65"/>
        <v>#N/A</v>
      </c>
      <c r="AA188" s="375">
        <f t="shared" si="70"/>
      </c>
      <c r="AB188" s="377">
        <f t="shared" si="54"/>
        <v>1</v>
      </c>
      <c r="AC188" s="375" t="str">
        <f t="shared" si="55"/>
        <v> </v>
      </c>
      <c r="AD188" s="375" t="e">
        <f t="shared" si="56"/>
        <v>#N/A</v>
      </c>
      <c r="AE188" s="375" t="str">
        <f t="shared" si="57"/>
        <v> </v>
      </c>
      <c r="AF188" s="375" t="e">
        <f t="shared" si="66"/>
        <v>#N/A</v>
      </c>
      <c r="AG188" s="378" t="str">
        <f t="shared" si="58"/>
        <v> </v>
      </c>
      <c r="AH188" s="379" t="e">
        <f t="shared" si="59"/>
        <v>#VALUE!</v>
      </c>
      <c r="AI188" s="378" t="e">
        <f t="shared" si="77"/>
        <v>#VALUE!</v>
      </c>
      <c r="AJ188" s="375" t="e">
        <f t="shared" si="61"/>
        <v>#N/A</v>
      </c>
      <c r="AK188" s="375" t="e">
        <f>VLOOKUP(AJ188,'排出係数表'!$A$4:$C$202,2,FALSE)</f>
        <v>#N/A</v>
      </c>
      <c r="AL188" s="375" t="e">
        <f t="shared" si="67"/>
        <v>#N/A</v>
      </c>
      <c r="AM188" s="375" t="e">
        <f>VLOOKUP(AJ188,'排出係数表'!$A$4:$C$202,3,FALSE)</f>
        <v>#N/A</v>
      </c>
      <c r="AN188" s="375" t="e">
        <f t="shared" si="68"/>
        <v>#N/A</v>
      </c>
      <c r="AO188" s="375">
        <f t="shared" si="62"/>
      </c>
      <c r="AP188" s="379" t="str">
        <f t="shared" si="63"/>
        <v>-</v>
      </c>
      <c r="AQ188" s="375" t="e">
        <f t="shared" si="74"/>
        <v>#VALUE!</v>
      </c>
      <c r="AR188" s="375">
        <f t="shared" si="71"/>
      </c>
    </row>
    <row r="189" spans="1:44" s="380" customFormat="1" ht="13.5" customHeight="1">
      <c r="A189" s="375" t="str">
        <f>IF(ISBLANK(F189)=TRUE," ",IF(ISBLANK('様式2'!$C$23)=TRUE," ",'様式2'!$C$23))</f>
        <v> </v>
      </c>
      <c r="B189" s="375" t="e">
        <f>LOOKUP(LOOKUP(C189,'様式3'!$A$5:$A$44,'様式3'!$C$5:$C$44),'産業分類表'!$D$2:$D$68,'産業分類表'!$E$2:$E$68)</f>
        <v>#N/A</v>
      </c>
      <c r="C189" s="343"/>
      <c r="D189" s="343"/>
      <c r="E189" s="343"/>
      <c r="F189" s="343"/>
      <c r="G189" s="341"/>
      <c r="H189" s="349"/>
      <c r="I189" s="343"/>
      <c r="J189" s="343"/>
      <c r="K189" s="342"/>
      <c r="L189" s="350"/>
      <c r="M189" s="351"/>
      <c r="N189" s="343"/>
      <c r="O189" s="354">
        <f t="shared" si="75"/>
      </c>
      <c r="P189" s="354">
        <f t="shared" si="76"/>
      </c>
      <c r="Q189" s="389"/>
      <c r="R189" s="376">
        <f t="shared" si="72"/>
      </c>
      <c r="S189" s="376">
        <f t="shared" si="73"/>
      </c>
      <c r="T189" s="352"/>
      <c r="U189" s="353"/>
      <c r="V189" s="352"/>
      <c r="W189" s="343"/>
      <c r="X189" s="388">
        <f t="shared" si="69"/>
      </c>
      <c r="Y189" s="375" t="e">
        <f t="shared" si="64"/>
        <v>#N/A</v>
      </c>
      <c r="Z189" s="375" t="e">
        <f t="shared" si="65"/>
        <v>#N/A</v>
      </c>
      <c r="AA189" s="375">
        <f t="shared" si="70"/>
      </c>
      <c r="AB189" s="377">
        <f t="shared" si="54"/>
        <v>1</v>
      </c>
      <c r="AC189" s="375" t="str">
        <f t="shared" si="55"/>
        <v> </v>
      </c>
      <c r="AD189" s="375" t="e">
        <f t="shared" si="56"/>
        <v>#N/A</v>
      </c>
      <c r="AE189" s="375" t="str">
        <f t="shared" si="57"/>
        <v> </v>
      </c>
      <c r="AF189" s="375" t="e">
        <f t="shared" si="66"/>
        <v>#N/A</v>
      </c>
      <c r="AG189" s="378" t="str">
        <f t="shared" si="58"/>
        <v> </v>
      </c>
      <c r="AH189" s="379" t="e">
        <f t="shared" si="59"/>
        <v>#VALUE!</v>
      </c>
      <c r="AI189" s="378" t="e">
        <f t="shared" si="77"/>
        <v>#VALUE!</v>
      </c>
      <c r="AJ189" s="375" t="e">
        <f t="shared" si="61"/>
        <v>#N/A</v>
      </c>
      <c r="AK189" s="375" t="e">
        <f>VLOOKUP(AJ189,'排出係数表'!$A$4:$C$202,2,FALSE)</f>
        <v>#N/A</v>
      </c>
      <c r="AL189" s="375" t="e">
        <f t="shared" si="67"/>
        <v>#N/A</v>
      </c>
      <c r="AM189" s="375" t="e">
        <f>VLOOKUP(AJ189,'排出係数表'!$A$4:$C$202,3,FALSE)</f>
        <v>#N/A</v>
      </c>
      <c r="AN189" s="375" t="e">
        <f t="shared" si="68"/>
        <v>#N/A</v>
      </c>
      <c r="AO189" s="375">
        <f t="shared" si="62"/>
      </c>
      <c r="AP189" s="379" t="str">
        <f t="shared" si="63"/>
        <v>-</v>
      </c>
      <c r="AQ189" s="375" t="e">
        <f t="shared" si="74"/>
        <v>#VALUE!</v>
      </c>
      <c r="AR189" s="375">
        <f t="shared" si="71"/>
      </c>
    </row>
    <row r="190" spans="1:44" s="380" customFormat="1" ht="13.5" customHeight="1">
      <c r="A190" s="375" t="str">
        <f>IF(ISBLANK(F190)=TRUE," ",IF(ISBLANK('様式2'!$C$23)=TRUE," ",'様式2'!$C$23))</f>
        <v> </v>
      </c>
      <c r="B190" s="375" t="e">
        <f>LOOKUP(LOOKUP(C190,'様式3'!$A$5:$A$44,'様式3'!$C$5:$C$44),'産業分類表'!$D$2:$D$68,'産業分類表'!$E$2:$E$68)</f>
        <v>#N/A</v>
      </c>
      <c r="C190" s="343"/>
      <c r="D190" s="343"/>
      <c r="E190" s="343"/>
      <c r="F190" s="343"/>
      <c r="G190" s="341"/>
      <c r="H190" s="349"/>
      <c r="I190" s="343"/>
      <c r="J190" s="343"/>
      <c r="K190" s="342"/>
      <c r="L190" s="350"/>
      <c r="M190" s="351"/>
      <c r="N190" s="343"/>
      <c r="O190" s="354">
        <f t="shared" si="75"/>
      </c>
      <c r="P190" s="354">
        <f t="shared" si="76"/>
      </c>
      <c r="Q190" s="389"/>
      <c r="R190" s="376">
        <f t="shared" si="72"/>
      </c>
      <c r="S190" s="376">
        <f t="shared" si="73"/>
      </c>
      <c r="T190" s="352"/>
      <c r="U190" s="353"/>
      <c r="V190" s="352"/>
      <c r="W190" s="343"/>
      <c r="X190" s="388">
        <f t="shared" si="69"/>
      </c>
      <c r="Y190" s="375" t="e">
        <f t="shared" si="64"/>
        <v>#N/A</v>
      </c>
      <c r="Z190" s="375" t="e">
        <f t="shared" si="65"/>
        <v>#N/A</v>
      </c>
      <c r="AA190" s="375">
        <f t="shared" si="70"/>
      </c>
      <c r="AB190" s="377">
        <f t="shared" si="54"/>
        <v>1</v>
      </c>
      <c r="AC190" s="375" t="str">
        <f t="shared" si="55"/>
        <v> </v>
      </c>
      <c r="AD190" s="375" t="e">
        <f t="shared" si="56"/>
        <v>#N/A</v>
      </c>
      <c r="AE190" s="375" t="str">
        <f t="shared" si="57"/>
        <v> </v>
      </c>
      <c r="AF190" s="375" t="e">
        <f t="shared" si="66"/>
        <v>#N/A</v>
      </c>
      <c r="AG190" s="378" t="str">
        <f t="shared" si="58"/>
        <v> </v>
      </c>
      <c r="AH190" s="379" t="e">
        <f t="shared" si="59"/>
        <v>#VALUE!</v>
      </c>
      <c r="AI190" s="378" t="e">
        <f t="shared" si="77"/>
        <v>#VALUE!</v>
      </c>
      <c r="AJ190" s="375" t="e">
        <f t="shared" si="61"/>
        <v>#N/A</v>
      </c>
      <c r="AK190" s="375" t="e">
        <f>VLOOKUP(AJ190,'排出係数表'!$A$4:$C$202,2,FALSE)</f>
        <v>#N/A</v>
      </c>
      <c r="AL190" s="375" t="e">
        <f t="shared" si="67"/>
        <v>#N/A</v>
      </c>
      <c r="AM190" s="375" t="e">
        <f>VLOOKUP(AJ190,'排出係数表'!$A$4:$C$202,3,FALSE)</f>
        <v>#N/A</v>
      </c>
      <c r="AN190" s="375" t="e">
        <f t="shared" si="68"/>
        <v>#N/A</v>
      </c>
      <c r="AO190" s="375">
        <f t="shared" si="62"/>
      </c>
      <c r="AP190" s="379" t="str">
        <f t="shared" si="63"/>
        <v>-</v>
      </c>
      <c r="AQ190" s="375" t="e">
        <f t="shared" si="74"/>
        <v>#VALUE!</v>
      </c>
      <c r="AR190" s="375">
        <f t="shared" si="71"/>
      </c>
    </row>
    <row r="191" spans="1:44" s="380" customFormat="1" ht="13.5" customHeight="1">
      <c r="A191" s="375" t="str">
        <f>IF(ISBLANK(F191)=TRUE," ",IF(ISBLANK('様式2'!$C$23)=TRUE," ",'様式2'!$C$23))</f>
        <v> </v>
      </c>
      <c r="B191" s="375" t="e">
        <f>LOOKUP(LOOKUP(C191,'様式3'!$A$5:$A$44,'様式3'!$C$5:$C$44),'産業分類表'!$D$2:$D$68,'産業分類表'!$E$2:$E$68)</f>
        <v>#N/A</v>
      </c>
      <c r="C191" s="343"/>
      <c r="D191" s="343"/>
      <c r="E191" s="343"/>
      <c r="F191" s="343"/>
      <c r="G191" s="341"/>
      <c r="H191" s="349"/>
      <c r="I191" s="343"/>
      <c r="J191" s="343"/>
      <c r="K191" s="342"/>
      <c r="L191" s="350"/>
      <c r="M191" s="351"/>
      <c r="N191" s="343"/>
      <c r="O191" s="354">
        <f t="shared" si="75"/>
      </c>
      <c r="P191" s="354">
        <f t="shared" si="76"/>
      </c>
      <c r="Q191" s="389"/>
      <c r="R191" s="376">
        <f t="shared" si="72"/>
      </c>
      <c r="S191" s="376">
        <f t="shared" si="73"/>
      </c>
      <c r="T191" s="352"/>
      <c r="U191" s="353"/>
      <c r="V191" s="352"/>
      <c r="W191" s="343"/>
      <c r="X191" s="388">
        <f t="shared" si="69"/>
      </c>
      <c r="Y191" s="375" t="e">
        <f t="shared" si="64"/>
        <v>#N/A</v>
      </c>
      <c r="Z191" s="375" t="e">
        <f t="shared" si="65"/>
        <v>#N/A</v>
      </c>
      <c r="AA191" s="375">
        <f t="shared" si="70"/>
      </c>
      <c r="AB191" s="377">
        <f t="shared" si="54"/>
        <v>1</v>
      </c>
      <c r="AC191" s="375" t="str">
        <f t="shared" si="55"/>
        <v> </v>
      </c>
      <c r="AD191" s="375" t="e">
        <f t="shared" si="56"/>
        <v>#N/A</v>
      </c>
      <c r="AE191" s="375" t="str">
        <f t="shared" si="57"/>
        <v> </v>
      </c>
      <c r="AF191" s="375" t="e">
        <f t="shared" si="66"/>
        <v>#N/A</v>
      </c>
      <c r="AG191" s="378" t="str">
        <f t="shared" si="58"/>
        <v> </v>
      </c>
      <c r="AH191" s="379" t="e">
        <f t="shared" si="59"/>
        <v>#VALUE!</v>
      </c>
      <c r="AI191" s="378" t="e">
        <f t="shared" si="77"/>
        <v>#VALUE!</v>
      </c>
      <c r="AJ191" s="375" t="e">
        <f t="shared" si="61"/>
        <v>#N/A</v>
      </c>
      <c r="AK191" s="375" t="e">
        <f>VLOOKUP(AJ191,'排出係数表'!$A$4:$C$202,2,FALSE)</f>
        <v>#N/A</v>
      </c>
      <c r="AL191" s="375" t="e">
        <f t="shared" si="67"/>
        <v>#N/A</v>
      </c>
      <c r="AM191" s="375" t="e">
        <f>VLOOKUP(AJ191,'排出係数表'!$A$4:$C$202,3,FALSE)</f>
        <v>#N/A</v>
      </c>
      <c r="AN191" s="375" t="e">
        <f t="shared" si="68"/>
        <v>#N/A</v>
      </c>
      <c r="AO191" s="375">
        <f t="shared" si="62"/>
      </c>
      <c r="AP191" s="379" t="str">
        <f t="shared" si="63"/>
        <v>-</v>
      </c>
      <c r="AQ191" s="375" t="e">
        <f t="shared" si="74"/>
        <v>#VALUE!</v>
      </c>
      <c r="AR191" s="375">
        <f t="shared" si="71"/>
      </c>
    </row>
    <row r="192" spans="1:44" s="380" customFormat="1" ht="13.5" customHeight="1">
      <c r="A192" s="375" t="str">
        <f>IF(ISBLANK(F192)=TRUE," ",IF(ISBLANK('様式2'!$C$23)=TRUE," ",'様式2'!$C$23))</f>
        <v> </v>
      </c>
      <c r="B192" s="375" t="e">
        <f>LOOKUP(LOOKUP(C192,'様式3'!$A$5:$A$44,'様式3'!$C$5:$C$44),'産業分類表'!$D$2:$D$68,'産業分類表'!$E$2:$E$68)</f>
        <v>#N/A</v>
      </c>
      <c r="C192" s="343"/>
      <c r="D192" s="343"/>
      <c r="E192" s="343"/>
      <c r="F192" s="343"/>
      <c r="G192" s="341"/>
      <c r="H192" s="349"/>
      <c r="I192" s="343"/>
      <c r="J192" s="343"/>
      <c r="K192" s="342"/>
      <c r="L192" s="350"/>
      <c r="M192" s="351"/>
      <c r="N192" s="343"/>
      <c r="O192" s="354">
        <f t="shared" si="75"/>
      </c>
      <c r="P192" s="354">
        <f t="shared" si="76"/>
      </c>
      <c r="Q192" s="389"/>
      <c r="R192" s="376">
        <f t="shared" si="72"/>
      </c>
      <c r="S192" s="376">
        <f t="shared" si="73"/>
      </c>
      <c r="T192" s="352"/>
      <c r="U192" s="353"/>
      <c r="V192" s="352"/>
      <c r="W192" s="343"/>
      <c r="X192" s="388">
        <f t="shared" si="69"/>
      </c>
      <c r="Y192" s="375" t="e">
        <f t="shared" si="64"/>
        <v>#N/A</v>
      </c>
      <c r="Z192" s="375" t="e">
        <f t="shared" si="65"/>
        <v>#N/A</v>
      </c>
      <c r="AA192" s="375">
        <f t="shared" si="70"/>
      </c>
      <c r="AB192" s="377">
        <f t="shared" si="54"/>
        <v>1</v>
      </c>
      <c r="AC192" s="375" t="str">
        <f t="shared" si="55"/>
        <v> </v>
      </c>
      <c r="AD192" s="375" t="e">
        <f t="shared" si="56"/>
        <v>#N/A</v>
      </c>
      <c r="AE192" s="375" t="str">
        <f t="shared" si="57"/>
        <v> </v>
      </c>
      <c r="AF192" s="375" t="e">
        <f t="shared" si="66"/>
        <v>#N/A</v>
      </c>
      <c r="AG192" s="378" t="str">
        <f t="shared" si="58"/>
        <v> </v>
      </c>
      <c r="AH192" s="379" t="e">
        <f t="shared" si="59"/>
        <v>#VALUE!</v>
      </c>
      <c r="AI192" s="378" t="e">
        <f t="shared" si="77"/>
        <v>#VALUE!</v>
      </c>
      <c r="AJ192" s="375" t="e">
        <f t="shared" si="61"/>
        <v>#N/A</v>
      </c>
      <c r="AK192" s="375" t="e">
        <f>VLOOKUP(AJ192,'排出係数表'!$A$4:$C$202,2,FALSE)</f>
        <v>#N/A</v>
      </c>
      <c r="AL192" s="375" t="e">
        <f t="shared" si="67"/>
        <v>#N/A</v>
      </c>
      <c r="AM192" s="375" t="e">
        <f>VLOOKUP(AJ192,'排出係数表'!$A$4:$C$202,3,FALSE)</f>
        <v>#N/A</v>
      </c>
      <c r="AN192" s="375" t="e">
        <f t="shared" si="68"/>
        <v>#N/A</v>
      </c>
      <c r="AO192" s="375">
        <f t="shared" si="62"/>
      </c>
      <c r="AP192" s="379" t="str">
        <f t="shared" si="63"/>
        <v>-</v>
      </c>
      <c r="AQ192" s="375" t="e">
        <f t="shared" si="74"/>
        <v>#VALUE!</v>
      </c>
      <c r="AR192" s="375">
        <f t="shared" si="71"/>
      </c>
    </row>
    <row r="193" spans="1:44" s="380" customFormat="1" ht="13.5" customHeight="1">
      <c r="A193" s="375" t="str">
        <f>IF(ISBLANK(F193)=TRUE," ",IF(ISBLANK('様式2'!$C$23)=TRUE," ",'様式2'!$C$23))</f>
        <v> </v>
      </c>
      <c r="B193" s="375" t="e">
        <f>LOOKUP(LOOKUP(C193,'様式3'!$A$5:$A$44,'様式3'!$C$5:$C$44),'産業分類表'!$D$2:$D$68,'産業分類表'!$E$2:$E$68)</f>
        <v>#N/A</v>
      </c>
      <c r="C193" s="343"/>
      <c r="D193" s="343"/>
      <c r="E193" s="343"/>
      <c r="F193" s="343"/>
      <c r="G193" s="341"/>
      <c r="H193" s="349"/>
      <c r="I193" s="343"/>
      <c r="J193" s="343"/>
      <c r="K193" s="342"/>
      <c r="L193" s="350"/>
      <c r="M193" s="351"/>
      <c r="N193" s="343"/>
      <c r="O193" s="354">
        <f t="shared" si="75"/>
      </c>
      <c r="P193" s="354">
        <f t="shared" si="76"/>
      </c>
      <c r="Q193" s="389"/>
      <c r="R193" s="376">
        <f t="shared" si="72"/>
      </c>
      <c r="S193" s="376">
        <f t="shared" si="73"/>
      </c>
      <c r="T193" s="352"/>
      <c r="U193" s="353"/>
      <c r="V193" s="352"/>
      <c r="W193" s="343"/>
      <c r="X193" s="388">
        <f t="shared" si="69"/>
      </c>
      <c r="Y193" s="375" t="e">
        <f t="shared" si="64"/>
        <v>#N/A</v>
      </c>
      <c r="Z193" s="375" t="e">
        <f t="shared" si="65"/>
        <v>#N/A</v>
      </c>
      <c r="AA193" s="375">
        <f t="shared" si="70"/>
      </c>
      <c r="AB193" s="377">
        <f t="shared" si="54"/>
        <v>1</v>
      </c>
      <c r="AC193" s="375" t="str">
        <f t="shared" si="55"/>
        <v> </v>
      </c>
      <c r="AD193" s="375" t="e">
        <f t="shared" si="56"/>
        <v>#N/A</v>
      </c>
      <c r="AE193" s="375" t="str">
        <f t="shared" si="57"/>
        <v> </v>
      </c>
      <c r="AF193" s="375" t="e">
        <f t="shared" si="66"/>
        <v>#N/A</v>
      </c>
      <c r="AG193" s="378" t="str">
        <f t="shared" si="58"/>
        <v> </v>
      </c>
      <c r="AH193" s="379" t="e">
        <f t="shared" si="59"/>
        <v>#VALUE!</v>
      </c>
      <c r="AI193" s="378" t="e">
        <f t="shared" si="77"/>
        <v>#VALUE!</v>
      </c>
      <c r="AJ193" s="375" t="e">
        <f t="shared" si="61"/>
        <v>#N/A</v>
      </c>
      <c r="AK193" s="375" t="e">
        <f>VLOOKUP(AJ193,'排出係数表'!$A$4:$C$202,2,FALSE)</f>
        <v>#N/A</v>
      </c>
      <c r="AL193" s="375" t="e">
        <f t="shared" si="67"/>
        <v>#N/A</v>
      </c>
      <c r="AM193" s="375" t="e">
        <f>VLOOKUP(AJ193,'排出係数表'!$A$4:$C$202,3,FALSE)</f>
        <v>#N/A</v>
      </c>
      <c r="AN193" s="375" t="e">
        <f t="shared" si="68"/>
        <v>#N/A</v>
      </c>
      <c r="AO193" s="375">
        <f t="shared" si="62"/>
      </c>
      <c r="AP193" s="379" t="str">
        <f t="shared" si="63"/>
        <v>-</v>
      </c>
      <c r="AQ193" s="375" t="e">
        <f t="shared" si="74"/>
        <v>#VALUE!</v>
      </c>
      <c r="AR193" s="375">
        <f t="shared" si="71"/>
      </c>
    </row>
    <row r="194" spans="1:44" s="380" customFormat="1" ht="13.5" customHeight="1">
      <c r="A194" s="375" t="str">
        <f>IF(ISBLANK(F194)=TRUE," ",IF(ISBLANK('様式2'!$C$23)=TRUE," ",'様式2'!$C$23))</f>
        <v> </v>
      </c>
      <c r="B194" s="375" t="e">
        <f>LOOKUP(LOOKUP(C194,'様式3'!$A$5:$A$44,'様式3'!$C$5:$C$44),'産業分類表'!$D$2:$D$68,'産業分類表'!$E$2:$E$68)</f>
        <v>#N/A</v>
      </c>
      <c r="C194" s="343"/>
      <c r="D194" s="343"/>
      <c r="E194" s="343"/>
      <c r="F194" s="343"/>
      <c r="G194" s="341"/>
      <c r="H194" s="349"/>
      <c r="I194" s="343"/>
      <c r="J194" s="343"/>
      <c r="K194" s="342"/>
      <c r="L194" s="350"/>
      <c r="M194" s="351"/>
      <c r="N194" s="343"/>
      <c r="O194" s="354">
        <f t="shared" si="75"/>
      </c>
      <c r="P194" s="354">
        <f t="shared" si="76"/>
      </c>
      <c r="Q194" s="389"/>
      <c r="R194" s="376">
        <f t="shared" si="72"/>
      </c>
      <c r="S194" s="376">
        <f t="shared" si="73"/>
      </c>
      <c r="T194" s="352"/>
      <c r="U194" s="353"/>
      <c r="V194" s="352"/>
      <c r="W194" s="343"/>
      <c r="X194" s="388">
        <f t="shared" si="69"/>
      </c>
      <c r="Y194" s="375" t="e">
        <f t="shared" si="64"/>
        <v>#N/A</v>
      </c>
      <c r="Z194" s="375" t="e">
        <f t="shared" si="65"/>
        <v>#N/A</v>
      </c>
      <c r="AA194" s="375">
        <f t="shared" si="70"/>
      </c>
      <c r="AB194" s="377">
        <f t="shared" si="54"/>
        <v>1</v>
      </c>
      <c r="AC194" s="375" t="str">
        <f t="shared" si="55"/>
        <v> </v>
      </c>
      <c r="AD194" s="375" t="e">
        <f t="shared" si="56"/>
        <v>#N/A</v>
      </c>
      <c r="AE194" s="375" t="str">
        <f t="shared" si="57"/>
        <v> </v>
      </c>
      <c r="AF194" s="375" t="e">
        <f t="shared" si="66"/>
        <v>#N/A</v>
      </c>
      <c r="AG194" s="378" t="str">
        <f t="shared" si="58"/>
        <v> </v>
      </c>
      <c r="AH194" s="379" t="e">
        <f t="shared" si="59"/>
        <v>#VALUE!</v>
      </c>
      <c r="AI194" s="378" t="e">
        <f t="shared" si="77"/>
        <v>#VALUE!</v>
      </c>
      <c r="AJ194" s="375" t="e">
        <f t="shared" si="61"/>
        <v>#N/A</v>
      </c>
      <c r="AK194" s="375" t="e">
        <f>VLOOKUP(AJ194,'排出係数表'!$A$4:$C$202,2,FALSE)</f>
        <v>#N/A</v>
      </c>
      <c r="AL194" s="375" t="e">
        <f t="shared" si="67"/>
        <v>#N/A</v>
      </c>
      <c r="AM194" s="375" t="e">
        <f>VLOOKUP(AJ194,'排出係数表'!$A$4:$C$202,3,FALSE)</f>
        <v>#N/A</v>
      </c>
      <c r="AN194" s="375" t="e">
        <f t="shared" si="68"/>
        <v>#N/A</v>
      </c>
      <c r="AO194" s="375">
        <f t="shared" si="62"/>
      </c>
      <c r="AP194" s="379" t="str">
        <f t="shared" si="63"/>
        <v>-</v>
      </c>
      <c r="AQ194" s="375" t="e">
        <f t="shared" si="74"/>
        <v>#VALUE!</v>
      </c>
      <c r="AR194" s="375">
        <f t="shared" si="71"/>
      </c>
    </row>
    <row r="195" spans="1:44" s="380" customFormat="1" ht="13.5" customHeight="1">
      <c r="A195" s="375" t="str">
        <f>IF(ISBLANK(F195)=TRUE," ",IF(ISBLANK('様式2'!$C$23)=TRUE," ",'様式2'!$C$23))</f>
        <v> </v>
      </c>
      <c r="B195" s="375" t="e">
        <f>LOOKUP(LOOKUP(C195,'様式3'!$A$5:$A$44,'様式3'!$C$5:$C$44),'産業分類表'!$D$2:$D$68,'産業分類表'!$E$2:$E$68)</f>
        <v>#N/A</v>
      </c>
      <c r="C195" s="343"/>
      <c r="D195" s="343"/>
      <c r="E195" s="343"/>
      <c r="F195" s="343"/>
      <c r="G195" s="341"/>
      <c r="H195" s="349"/>
      <c r="I195" s="343"/>
      <c r="J195" s="343"/>
      <c r="K195" s="342"/>
      <c r="L195" s="350"/>
      <c r="M195" s="351"/>
      <c r="N195" s="343"/>
      <c r="O195" s="354">
        <f t="shared" si="75"/>
      </c>
      <c r="P195" s="354">
        <f t="shared" si="76"/>
      </c>
      <c r="Q195" s="389"/>
      <c r="R195" s="376">
        <f t="shared" si="72"/>
      </c>
      <c r="S195" s="376">
        <f t="shared" si="73"/>
      </c>
      <c r="T195" s="352"/>
      <c r="U195" s="353"/>
      <c r="V195" s="352"/>
      <c r="W195" s="343"/>
      <c r="X195" s="388">
        <f t="shared" si="69"/>
      </c>
      <c r="Y195" s="375" t="e">
        <f t="shared" si="64"/>
        <v>#N/A</v>
      </c>
      <c r="Z195" s="375" t="e">
        <f t="shared" si="65"/>
        <v>#N/A</v>
      </c>
      <c r="AA195" s="375">
        <f t="shared" si="70"/>
      </c>
      <c r="AB195" s="377">
        <f t="shared" si="54"/>
        <v>1</v>
      </c>
      <c r="AC195" s="375" t="str">
        <f t="shared" si="55"/>
        <v> </v>
      </c>
      <c r="AD195" s="375" t="e">
        <f t="shared" si="56"/>
        <v>#N/A</v>
      </c>
      <c r="AE195" s="375" t="str">
        <f t="shared" si="57"/>
        <v> </v>
      </c>
      <c r="AF195" s="375" t="e">
        <f t="shared" si="66"/>
        <v>#N/A</v>
      </c>
      <c r="AG195" s="378" t="str">
        <f t="shared" si="58"/>
        <v> </v>
      </c>
      <c r="AH195" s="379" t="e">
        <f t="shared" si="59"/>
        <v>#VALUE!</v>
      </c>
      <c r="AI195" s="378" t="e">
        <f t="shared" si="77"/>
        <v>#VALUE!</v>
      </c>
      <c r="AJ195" s="375" t="e">
        <f t="shared" si="61"/>
        <v>#N/A</v>
      </c>
      <c r="AK195" s="375" t="e">
        <f>VLOOKUP(AJ195,'排出係数表'!$A$4:$C$202,2,FALSE)</f>
        <v>#N/A</v>
      </c>
      <c r="AL195" s="375" t="e">
        <f t="shared" si="67"/>
        <v>#N/A</v>
      </c>
      <c r="AM195" s="375" t="e">
        <f>VLOOKUP(AJ195,'排出係数表'!$A$4:$C$202,3,FALSE)</f>
        <v>#N/A</v>
      </c>
      <c r="AN195" s="375" t="e">
        <f t="shared" si="68"/>
        <v>#N/A</v>
      </c>
      <c r="AO195" s="375">
        <f t="shared" si="62"/>
      </c>
      <c r="AP195" s="379" t="str">
        <f t="shared" si="63"/>
        <v>-</v>
      </c>
      <c r="AQ195" s="375" t="e">
        <f t="shared" si="74"/>
        <v>#VALUE!</v>
      </c>
      <c r="AR195" s="375">
        <f t="shared" si="71"/>
      </c>
    </row>
    <row r="196" spans="1:44" s="380" customFormat="1" ht="13.5" customHeight="1">
      <c r="A196" s="375" t="str">
        <f>IF(ISBLANK(F196)=TRUE," ",IF(ISBLANK('様式2'!$C$23)=TRUE," ",'様式2'!$C$23))</f>
        <v> </v>
      </c>
      <c r="B196" s="375" t="e">
        <f>LOOKUP(LOOKUP(C196,'様式3'!$A$5:$A$44,'様式3'!$C$5:$C$44),'産業分類表'!$D$2:$D$68,'産業分類表'!$E$2:$E$68)</f>
        <v>#N/A</v>
      </c>
      <c r="C196" s="343"/>
      <c r="D196" s="343"/>
      <c r="E196" s="343"/>
      <c r="F196" s="343"/>
      <c r="G196" s="341"/>
      <c r="H196" s="349"/>
      <c r="I196" s="343"/>
      <c r="J196" s="343"/>
      <c r="K196" s="342"/>
      <c r="L196" s="350"/>
      <c r="M196" s="351"/>
      <c r="N196" s="343"/>
      <c r="O196" s="354">
        <f t="shared" si="75"/>
      </c>
      <c r="P196" s="354">
        <f t="shared" si="76"/>
      </c>
      <c r="Q196" s="389"/>
      <c r="R196" s="376">
        <f t="shared" si="72"/>
      </c>
      <c r="S196" s="376">
        <f t="shared" si="73"/>
      </c>
      <c r="T196" s="352"/>
      <c r="U196" s="353"/>
      <c r="V196" s="352"/>
      <c r="W196" s="343"/>
      <c r="X196" s="388">
        <f t="shared" si="69"/>
      </c>
      <c r="Y196" s="375" t="e">
        <f aca="true" t="shared" si="78" ref="Y196:Y259">LOOKUP(F196,種類,$L$306:$L$313)</f>
        <v>#N/A</v>
      </c>
      <c r="Z196" s="375" t="e">
        <f aca="true" t="shared" si="79" ref="Z196:Z259">LOOKUP(F196,種類,$M$306:$M$313)</f>
        <v>#N/A</v>
      </c>
      <c r="AA196" s="375">
        <f t="shared" si="70"/>
      </c>
      <c r="AB196" s="377">
        <f t="shared" si="54"/>
        <v>1</v>
      </c>
      <c r="AC196" s="375" t="str">
        <f t="shared" si="55"/>
        <v> </v>
      </c>
      <c r="AD196" s="375" t="e">
        <f t="shared" si="56"/>
        <v>#N/A</v>
      </c>
      <c r="AE196" s="375" t="str">
        <f t="shared" si="57"/>
        <v> </v>
      </c>
      <c r="AF196" s="375" t="e">
        <f aca="true" t="shared" si="80" ref="AF196:AF259">LOOKUP(J196,燃料,$L$320:$L$335)</f>
        <v>#N/A</v>
      </c>
      <c r="AG196" s="378" t="str">
        <f t="shared" si="58"/>
        <v> </v>
      </c>
      <c r="AH196" s="379" t="e">
        <f t="shared" si="59"/>
        <v>#VALUE!</v>
      </c>
      <c r="AI196" s="378" t="e">
        <f t="shared" si="77"/>
        <v>#VALUE!</v>
      </c>
      <c r="AJ196" s="375" t="e">
        <f t="shared" si="61"/>
        <v>#N/A</v>
      </c>
      <c r="AK196" s="375" t="e">
        <f>VLOOKUP(AJ196,'排出係数表'!$A$4:$C$202,2,FALSE)</f>
        <v>#N/A</v>
      </c>
      <c r="AL196" s="375" t="e">
        <f aca="true" t="shared" si="81" ref="AL196:AL259">IF(OR(AND(LEFT(AA196,1)="U",AA196&lt;&gt;"U"),AND(LEFT(AA196,1)="L",AA196&lt;&gt;"L"),AND(LEFT(AA196,1)="T",AA196&lt;&gt;"T")),1,LOOKUP(J196,燃料,$M$320:$M$335))</f>
        <v>#N/A</v>
      </c>
      <c r="AM196" s="375" t="e">
        <f>VLOOKUP(AJ196,'排出係数表'!$A$4:$C$202,3,FALSE)</f>
        <v>#N/A</v>
      </c>
      <c r="AN196" s="375" t="e">
        <f aca="true" t="shared" si="82" ref="AN196:AN259">LOOKUP(J196,燃料,$N$320:$N$335)</f>
        <v>#N/A</v>
      </c>
      <c r="AO196" s="375">
        <f t="shared" si="62"/>
      </c>
      <c r="AP196" s="379" t="str">
        <f t="shared" si="63"/>
        <v>-</v>
      </c>
      <c r="AQ196" s="375" t="e">
        <f t="shared" si="74"/>
        <v>#VALUE!</v>
      </c>
      <c r="AR196" s="375">
        <f t="shared" si="71"/>
      </c>
    </row>
    <row r="197" spans="1:44" s="380" customFormat="1" ht="13.5" customHeight="1">
      <c r="A197" s="375" t="str">
        <f>IF(ISBLANK(F197)=TRUE," ",IF(ISBLANK('様式2'!$C$23)=TRUE," ",'様式2'!$C$23))</f>
        <v> </v>
      </c>
      <c r="B197" s="375" t="e">
        <f>LOOKUP(LOOKUP(C197,'様式3'!$A$5:$A$44,'様式3'!$C$5:$C$44),'産業分類表'!$D$2:$D$68,'産業分類表'!$E$2:$E$68)</f>
        <v>#N/A</v>
      </c>
      <c r="C197" s="343"/>
      <c r="D197" s="343"/>
      <c r="E197" s="343"/>
      <c r="F197" s="343"/>
      <c r="G197" s="341"/>
      <c r="H197" s="349"/>
      <c r="I197" s="343"/>
      <c r="J197" s="343"/>
      <c r="K197" s="342"/>
      <c r="L197" s="350"/>
      <c r="M197" s="351"/>
      <c r="N197" s="343"/>
      <c r="O197" s="354">
        <f t="shared" si="75"/>
      </c>
      <c r="P197" s="354">
        <f t="shared" si="76"/>
      </c>
      <c r="Q197" s="389"/>
      <c r="R197" s="376">
        <f t="shared" si="72"/>
      </c>
      <c r="S197" s="376">
        <f t="shared" si="73"/>
      </c>
      <c r="T197" s="352"/>
      <c r="U197" s="353"/>
      <c r="V197" s="352"/>
      <c r="W197" s="343"/>
      <c r="X197" s="388">
        <f aca="true" t="shared" si="83" ref="X197:X260">IF(ISBLANK(F197)=TRUE,"",IF(OR(ISBLANK(C197)=TRUE,ISBLANK(D197)=TRUE),1,""))</f>
      </c>
      <c r="Y197" s="375" t="e">
        <f t="shared" si="78"/>
        <v>#N/A</v>
      </c>
      <c r="Z197" s="375" t="e">
        <f t="shared" si="79"/>
        <v>#N/A</v>
      </c>
      <c r="AA197" s="375">
        <f aca="true" t="shared" si="84" ref="AA197:AA260">IF(ISERROR(SEARCH("-",G197,1))=TRUE,ASC(UPPER(G197)),ASC(UPPER(LEFT(G197,SEARCH("-",G197,1)-1))))</f>
      </c>
      <c r="AB197" s="377">
        <f t="shared" si="54"/>
        <v>1</v>
      </c>
      <c r="AC197" s="375" t="str">
        <f t="shared" si="55"/>
        <v> </v>
      </c>
      <c r="AD197" s="375" t="e">
        <f t="shared" si="56"/>
        <v>#N/A</v>
      </c>
      <c r="AE197" s="375" t="str">
        <f t="shared" si="57"/>
        <v> </v>
      </c>
      <c r="AF197" s="375" t="e">
        <f t="shared" si="80"/>
        <v>#N/A</v>
      </c>
      <c r="AG197" s="378" t="str">
        <f t="shared" si="58"/>
        <v> </v>
      </c>
      <c r="AH197" s="379" t="e">
        <f t="shared" si="59"/>
        <v>#VALUE!</v>
      </c>
      <c r="AI197" s="378" t="e">
        <f t="shared" si="77"/>
        <v>#VALUE!</v>
      </c>
      <c r="AJ197" s="375" t="e">
        <f t="shared" si="61"/>
        <v>#N/A</v>
      </c>
      <c r="AK197" s="375" t="e">
        <f>VLOOKUP(AJ197,'排出係数表'!$A$4:$C$202,2,FALSE)</f>
        <v>#N/A</v>
      </c>
      <c r="AL197" s="375" t="e">
        <f t="shared" si="81"/>
        <v>#N/A</v>
      </c>
      <c r="AM197" s="375" t="e">
        <f>VLOOKUP(AJ197,'排出係数表'!$A$4:$C$202,3,FALSE)</f>
        <v>#N/A</v>
      </c>
      <c r="AN197" s="375" t="e">
        <f t="shared" si="82"/>
        <v>#N/A</v>
      </c>
      <c r="AO197" s="375">
        <f t="shared" si="62"/>
      </c>
      <c r="AP197" s="379" t="str">
        <f t="shared" si="63"/>
        <v>-</v>
      </c>
      <c r="AQ197" s="375" t="e">
        <f t="shared" si="74"/>
        <v>#VALUE!</v>
      </c>
      <c r="AR197" s="375">
        <f aca="true" t="shared" si="85" ref="AR197:AR260">IF(ISBLANK(T197)=TRUE,"",AQ197&amp;LEFT(U197,4))</f>
      </c>
    </row>
    <row r="198" spans="1:44" s="380" customFormat="1" ht="13.5" customHeight="1">
      <c r="A198" s="375" t="str">
        <f>IF(ISBLANK(F198)=TRUE," ",IF(ISBLANK('様式2'!$C$23)=TRUE," ",'様式2'!$C$23))</f>
        <v> </v>
      </c>
      <c r="B198" s="375" t="e">
        <f>LOOKUP(LOOKUP(C198,'様式3'!$A$5:$A$44,'様式3'!$C$5:$C$44),'産業分類表'!$D$2:$D$68,'産業分類表'!$E$2:$E$68)</f>
        <v>#N/A</v>
      </c>
      <c r="C198" s="343"/>
      <c r="D198" s="343"/>
      <c r="E198" s="343"/>
      <c r="F198" s="343"/>
      <c r="G198" s="341"/>
      <c r="H198" s="349"/>
      <c r="I198" s="343"/>
      <c r="J198" s="343"/>
      <c r="K198" s="342"/>
      <c r="L198" s="350"/>
      <c r="M198" s="351"/>
      <c r="N198" s="343"/>
      <c r="O198" s="354">
        <f t="shared" si="75"/>
      </c>
      <c r="P198" s="354">
        <f t="shared" si="76"/>
      </c>
      <c r="Q198" s="389"/>
      <c r="R198" s="376">
        <f t="shared" si="72"/>
      </c>
      <c r="S198" s="376">
        <f t="shared" si="73"/>
      </c>
      <c r="T198" s="352"/>
      <c r="U198" s="353"/>
      <c r="V198" s="352"/>
      <c r="W198" s="343"/>
      <c r="X198" s="388">
        <f t="shared" si="83"/>
      </c>
      <c r="Y198" s="375" t="e">
        <f t="shared" si="78"/>
        <v>#N/A</v>
      </c>
      <c r="Z198" s="375" t="e">
        <f t="shared" si="79"/>
        <v>#N/A</v>
      </c>
      <c r="AA198" s="375">
        <f t="shared" si="84"/>
      </c>
      <c r="AB198" s="377">
        <f t="shared" si="54"/>
        <v>1</v>
      </c>
      <c r="AC198" s="375" t="str">
        <f t="shared" si="55"/>
        <v> </v>
      </c>
      <c r="AD198" s="375" t="e">
        <f t="shared" si="56"/>
        <v>#N/A</v>
      </c>
      <c r="AE198" s="375" t="str">
        <f t="shared" si="57"/>
        <v> </v>
      </c>
      <c r="AF198" s="375" t="e">
        <f t="shared" si="80"/>
        <v>#N/A</v>
      </c>
      <c r="AG198" s="378" t="str">
        <f t="shared" si="58"/>
        <v> </v>
      </c>
      <c r="AH198" s="379" t="e">
        <f t="shared" si="59"/>
        <v>#VALUE!</v>
      </c>
      <c r="AI198" s="378" t="e">
        <f t="shared" si="77"/>
        <v>#VALUE!</v>
      </c>
      <c r="AJ198" s="375" t="e">
        <f t="shared" si="61"/>
        <v>#N/A</v>
      </c>
      <c r="AK198" s="375" t="e">
        <f>VLOOKUP(AJ198,'排出係数表'!$A$4:$C$202,2,FALSE)</f>
        <v>#N/A</v>
      </c>
      <c r="AL198" s="375" t="e">
        <f t="shared" si="81"/>
        <v>#N/A</v>
      </c>
      <c r="AM198" s="375" t="e">
        <f>VLOOKUP(AJ198,'排出係数表'!$A$4:$C$202,3,FALSE)</f>
        <v>#N/A</v>
      </c>
      <c r="AN198" s="375" t="e">
        <f t="shared" si="82"/>
        <v>#N/A</v>
      </c>
      <c r="AO198" s="375">
        <f t="shared" si="62"/>
      </c>
      <c r="AP198" s="379" t="str">
        <f t="shared" si="63"/>
        <v>-</v>
      </c>
      <c r="AQ198" s="375" t="e">
        <f t="shared" si="74"/>
        <v>#VALUE!</v>
      </c>
      <c r="AR198" s="375">
        <f t="shared" si="85"/>
      </c>
    </row>
    <row r="199" spans="1:44" s="380" customFormat="1" ht="13.5" customHeight="1">
      <c r="A199" s="375" t="str">
        <f>IF(ISBLANK(F199)=TRUE," ",IF(ISBLANK('様式2'!$C$23)=TRUE," ",'様式2'!$C$23))</f>
        <v> </v>
      </c>
      <c r="B199" s="375" t="e">
        <f>LOOKUP(LOOKUP(C199,'様式3'!$A$5:$A$44,'様式3'!$C$5:$C$44),'産業分類表'!$D$2:$D$68,'産業分類表'!$E$2:$E$68)</f>
        <v>#N/A</v>
      </c>
      <c r="C199" s="343"/>
      <c r="D199" s="343"/>
      <c r="E199" s="343"/>
      <c r="F199" s="343"/>
      <c r="G199" s="341"/>
      <c r="H199" s="349"/>
      <c r="I199" s="343"/>
      <c r="J199" s="343"/>
      <c r="K199" s="342"/>
      <c r="L199" s="350"/>
      <c r="M199" s="351"/>
      <c r="N199" s="343"/>
      <c r="O199" s="354">
        <f t="shared" si="75"/>
      </c>
      <c r="P199" s="354">
        <f t="shared" si="76"/>
      </c>
      <c r="Q199" s="389"/>
      <c r="R199" s="376">
        <f t="shared" si="72"/>
      </c>
      <c r="S199" s="376">
        <f t="shared" si="73"/>
      </c>
      <c r="T199" s="352"/>
      <c r="U199" s="353"/>
      <c r="V199" s="352"/>
      <c r="W199" s="343"/>
      <c r="X199" s="388">
        <f t="shared" si="83"/>
      </c>
      <c r="Y199" s="375" t="e">
        <f t="shared" si="78"/>
        <v>#N/A</v>
      </c>
      <c r="Z199" s="375" t="e">
        <f t="shared" si="79"/>
        <v>#N/A</v>
      </c>
      <c r="AA199" s="375">
        <f t="shared" si="84"/>
      </c>
      <c r="AB199" s="377">
        <f t="shared" si="54"/>
        <v>1</v>
      </c>
      <c r="AC199" s="375" t="str">
        <f t="shared" si="55"/>
        <v> </v>
      </c>
      <c r="AD199" s="375" t="e">
        <f t="shared" si="56"/>
        <v>#N/A</v>
      </c>
      <c r="AE199" s="375" t="str">
        <f t="shared" si="57"/>
        <v> </v>
      </c>
      <c r="AF199" s="375" t="e">
        <f t="shared" si="80"/>
        <v>#N/A</v>
      </c>
      <c r="AG199" s="378" t="str">
        <f t="shared" si="58"/>
        <v> </v>
      </c>
      <c r="AH199" s="379" t="e">
        <f t="shared" si="59"/>
        <v>#VALUE!</v>
      </c>
      <c r="AI199" s="378" t="e">
        <f t="shared" si="77"/>
        <v>#VALUE!</v>
      </c>
      <c r="AJ199" s="375" t="e">
        <f t="shared" si="61"/>
        <v>#N/A</v>
      </c>
      <c r="AK199" s="375" t="e">
        <f>VLOOKUP(AJ199,'排出係数表'!$A$4:$C$202,2,FALSE)</f>
        <v>#N/A</v>
      </c>
      <c r="AL199" s="375" t="e">
        <f t="shared" si="81"/>
        <v>#N/A</v>
      </c>
      <c r="AM199" s="375" t="e">
        <f>VLOOKUP(AJ199,'排出係数表'!$A$4:$C$202,3,FALSE)</f>
        <v>#N/A</v>
      </c>
      <c r="AN199" s="375" t="e">
        <f t="shared" si="82"/>
        <v>#N/A</v>
      </c>
      <c r="AO199" s="375">
        <f t="shared" si="62"/>
      </c>
      <c r="AP199" s="379" t="str">
        <f t="shared" si="63"/>
        <v>-</v>
      </c>
      <c r="AQ199" s="375" t="e">
        <f t="shared" si="74"/>
        <v>#VALUE!</v>
      </c>
      <c r="AR199" s="375">
        <f t="shared" si="85"/>
      </c>
    </row>
    <row r="200" spans="1:44" s="380" customFormat="1" ht="13.5" customHeight="1">
      <c r="A200" s="375" t="str">
        <f>IF(ISBLANK(F200)=TRUE," ",IF(ISBLANK('様式2'!$C$23)=TRUE," ",'様式2'!$C$23))</f>
        <v> </v>
      </c>
      <c r="B200" s="375" t="e">
        <f>LOOKUP(LOOKUP(C200,'様式3'!$A$5:$A$44,'様式3'!$C$5:$C$44),'産業分類表'!$D$2:$D$68,'産業分類表'!$E$2:$E$68)</f>
        <v>#N/A</v>
      </c>
      <c r="C200" s="343"/>
      <c r="D200" s="343"/>
      <c r="E200" s="343"/>
      <c r="F200" s="343"/>
      <c r="G200" s="341"/>
      <c r="H200" s="349"/>
      <c r="I200" s="343"/>
      <c r="J200" s="343"/>
      <c r="K200" s="342"/>
      <c r="L200" s="350"/>
      <c r="M200" s="351"/>
      <c r="N200" s="343"/>
      <c r="O200" s="354">
        <f t="shared" si="75"/>
      </c>
      <c r="P200" s="354">
        <f t="shared" si="76"/>
      </c>
      <c r="Q200" s="389"/>
      <c r="R200" s="376">
        <f t="shared" si="72"/>
      </c>
      <c r="S200" s="376">
        <f t="shared" si="73"/>
      </c>
      <c r="T200" s="352"/>
      <c r="U200" s="353"/>
      <c r="V200" s="352"/>
      <c r="W200" s="343"/>
      <c r="X200" s="388">
        <f t="shared" si="83"/>
      </c>
      <c r="Y200" s="375" t="e">
        <f t="shared" si="78"/>
        <v>#N/A</v>
      </c>
      <c r="Z200" s="375" t="e">
        <f t="shared" si="79"/>
        <v>#N/A</v>
      </c>
      <c r="AA200" s="375">
        <f t="shared" si="84"/>
      </c>
      <c r="AB200" s="377">
        <f t="shared" si="54"/>
        <v>1</v>
      </c>
      <c r="AC200" s="375" t="str">
        <f t="shared" si="55"/>
        <v> </v>
      </c>
      <c r="AD200" s="375" t="e">
        <f t="shared" si="56"/>
        <v>#N/A</v>
      </c>
      <c r="AE200" s="375" t="str">
        <f t="shared" si="57"/>
        <v> </v>
      </c>
      <c r="AF200" s="375" t="e">
        <f t="shared" si="80"/>
        <v>#N/A</v>
      </c>
      <c r="AG200" s="378" t="str">
        <f t="shared" si="58"/>
        <v> </v>
      </c>
      <c r="AH200" s="379" t="e">
        <f t="shared" si="59"/>
        <v>#VALUE!</v>
      </c>
      <c r="AI200" s="378" t="e">
        <f t="shared" si="77"/>
        <v>#VALUE!</v>
      </c>
      <c r="AJ200" s="375" t="e">
        <f t="shared" si="61"/>
        <v>#N/A</v>
      </c>
      <c r="AK200" s="375" t="e">
        <f>VLOOKUP(AJ200,'排出係数表'!$A$4:$C$202,2,FALSE)</f>
        <v>#N/A</v>
      </c>
      <c r="AL200" s="375" t="e">
        <f t="shared" si="81"/>
        <v>#N/A</v>
      </c>
      <c r="AM200" s="375" t="e">
        <f>VLOOKUP(AJ200,'排出係数表'!$A$4:$C$202,3,FALSE)</f>
        <v>#N/A</v>
      </c>
      <c r="AN200" s="375" t="e">
        <f t="shared" si="82"/>
        <v>#N/A</v>
      </c>
      <c r="AO200" s="375">
        <f t="shared" si="62"/>
      </c>
      <c r="AP200" s="379" t="str">
        <f t="shared" si="63"/>
        <v>-</v>
      </c>
      <c r="AQ200" s="375" t="e">
        <f t="shared" si="74"/>
        <v>#VALUE!</v>
      </c>
      <c r="AR200" s="375">
        <f t="shared" si="85"/>
      </c>
    </row>
    <row r="201" spans="1:44" s="380" customFormat="1" ht="13.5" customHeight="1">
      <c r="A201" s="375" t="str">
        <f>IF(ISBLANK(F201)=TRUE," ",IF(ISBLANK('様式2'!$C$23)=TRUE," ",'様式2'!$C$23))</f>
        <v> </v>
      </c>
      <c r="B201" s="375" t="e">
        <f>LOOKUP(LOOKUP(C201,'様式3'!$A$5:$A$44,'様式3'!$C$5:$C$44),'産業分類表'!$D$2:$D$68,'産業分類表'!$E$2:$E$68)</f>
        <v>#N/A</v>
      </c>
      <c r="C201" s="343"/>
      <c r="D201" s="343"/>
      <c r="E201" s="343"/>
      <c r="F201" s="343"/>
      <c r="G201" s="341"/>
      <c r="H201" s="349"/>
      <c r="I201" s="343"/>
      <c r="J201" s="343"/>
      <c r="K201" s="342"/>
      <c r="L201" s="350"/>
      <c r="M201" s="351"/>
      <c r="N201" s="343"/>
      <c r="O201" s="354">
        <f t="shared" si="75"/>
      </c>
      <c r="P201" s="354">
        <f t="shared" si="76"/>
      </c>
      <c r="Q201" s="389"/>
      <c r="R201" s="376">
        <f t="shared" si="72"/>
      </c>
      <c r="S201" s="376">
        <f t="shared" si="73"/>
      </c>
      <c r="T201" s="352"/>
      <c r="U201" s="353"/>
      <c r="V201" s="352"/>
      <c r="W201" s="343"/>
      <c r="X201" s="388">
        <f t="shared" si="83"/>
      </c>
      <c r="Y201" s="375" t="e">
        <f t="shared" si="78"/>
        <v>#N/A</v>
      </c>
      <c r="Z201" s="375" t="e">
        <f t="shared" si="79"/>
        <v>#N/A</v>
      </c>
      <c r="AA201" s="375">
        <f t="shared" si="84"/>
      </c>
      <c r="AB201" s="377">
        <f t="shared" si="54"/>
        <v>1</v>
      </c>
      <c r="AC201" s="375" t="str">
        <f t="shared" si="55"/>
        <v> </v>
      </c>
      <c r="AD201" s="375" t="e">
        <f t="shared" si="56"/>
        <v>#N/A</v>
      </c>
      <c r="AE201" s="375" t="str">
        <f t="shared" si="57"/>
        <v> </v>
      </c>
      <c r="AF201" s="375" t="e">
        <f t="shared" si="80"/>
        <v>#N/A</v>
      </c>
      <c r="AG201" s="378" t="str">
        <f t="shared" si="58"/>
        <v> </v>
      </c>
      <c r="AH201" s="379" t="e">
        <f t="shared" si="59"/>
        <v>#VALUE!</v>
      </c>
      <c r="AI201" s="378" t="e">
        <f t="shared" si="77"/>
        <v>#VALUE!</v>
      </c>
      <c r="AJ201" s="375" t="e">
        <f t="shared" si="61"/>
        <v>#N/A</v>
      </c>
      <c r="AK201" s="375" t="e">
        <f>VLOOKUP(AJ201,'排出係数表'!$A$4:$C$202,2,FALSE)</f>
        <v>#N/A</v>
      </c>
      <c r="AL201" s="375" t="e">
        <f t="shared" si="81"/>
        <v>#N/A</v>
      </c>
      <c r="AM201" s="375" t="e">
        <f>VLOOKUP(AJ201,'排出係数表'!$A$4:$C$202,3,FALSE)</f>
        <v>#N/A</v>
      </c>
      <c r="AN201" s="375" t="e">
        <f t="shared" si="82"/>
        <v>#N/A</v>
      </c>
      <c r="AO201" s="375">
        <f t="shared" si="62"/>
      </c>
      <c r="AP201" s="379" t="str">
        <f t="shared" si="63"/>
        <v>-</v>
      </c>
      <c r="AQ201" s="375" t="e">
        <f t="shared" si="74"/>
        <v>#VALUE!</v>
      </c>
      <c r="AR201" s="375">
        <f t="shared" si="85"/>
      </c>
    </row>
    <row r="202" spans="1:44" s="380" customFormat="1" ht="13.5" customHeight="1">
      <c r="A202" s="375" t="str">
        <f>IF(ISBLANK(F202)=TRUE," ",IF(ISBLANK('様式2'!$C$23)=TRUE," ",'様式2'!$C$23))</f>
        <v> </v>
      </c>
      <c r="B202" s="375" t="e">
        <f>LOOKUP(LOOKUP(C202,'様式3'!$A$5:$A$44,'様式3'!$C$5:$C$44),'産業分類表'!$D$2:$D$68,'産業分類表'!$E$2:$E$68)</f>
        <v>#N/A</v>
      </c>
      <c r="C202" s="343"/>
      <c r="D202" s="343"/>
      <c r="E202" s="343"/>
      <c r="F202" s="343"/>
      <c r="G202" s="341"/>
      <c r="H202" s="349"/>
      <c r="I202" s="343"/>
      <c r="J202" s="343"/>
      <c r="K202" s="342"/>
      <c r="L202" s="350"/>
      <c r="M202" s="351"/>
      <c r="N202" s="343"/>
      <c r="O202" s="354">
        <f t="shared" si="75"/>
      </c>
      <c r="P202" s="354">
        <f t="shared" si="76"/>
      </c>
      <c r="Q202" s="389"/>
      <c r="R202" s="376">
        <f t="shared" si="72"/>
      </c>
      <c r="S202" s="376">
        <f t="shared" si="73"/>
      </c>
      <c r="T202" s="352"/>
      <c r="U202" s="353"/>
      <c r="V202" s="352"/>
      <c r="W202" s="343"/>
      <c r="X202" s="388">
        <f t="shared" si="83"/>
      </c>
      <c r="Y202" s="375" t="e">
        <f t="shared" si="78"/>
        <v>#N/A</v>
      </c>
      <c r="Z202" s="375" t="e">
        <f t="shared" si="79"/>
        <v>#N/A</v>
      </c>
      <c r="AA202" s="375">
        <f t="shared" si="84"/>
      </c>
      <c r="AB202" s="377">
        <f t="shared" si="54"/>
        <v>1</v>
      </c>
      <c r="AC202" s="375" t="str">
        <f t="shared" si="55"/>
        <v> </v>
      </c>
      <c r="AD202" s="375" t="e">
        <f t="shared" si="56"/>
        <v>#N/A</v>
      </c>
      <c r="AE202" s="375" t="str">
        <f t="shared" si="57"/>
        <v> </v>
      </c>
      <c r="AF202" s="375" t="e">
        <f t="shared" si="80"/>
        <v>#N/A</v>
      </c>
      <c r="AG202" s="378" t="str">
        <f t="shared" si="58"/>
        <v> </v>
      </c>
      <c r="AH202" s="379" t="e">
        <f t="shared" si="59"/>
        <v>#VALUE!</v>
      </c>
      <c r="AI202" s="378" t="e">
        <f t="shared" si="77"/>
        <v>#VALUE!</v>
      </c>
      <c r="AJ202" s="375" t="e">
        <f t="shared" si="61"/>
        <v>#N/A</v>
      </c>
      <c r="AK202" s="375" t="e">
        <f>VLOOKUP(AJ202,'排出係数表'!$A$4:$C$202,2,FALSE)</f>
        <v>#N/A</v>
      </c>
      <c r="AL202" s="375" t="e">
        <f t="shared" si="81"/>
        <v>#N/A</v>
      </c>
      <c r="AM202" s="375" t="e">
        <f>VLOOKUP(AJ202,'排出係数表'!$A$4:$C$202,3,FALSE)</f>
        <v>#N/A</v>
      </c>
      <c r="AN202" s="375" t="e">
        <f t="shared" si="82"/>
        <v>#N/A</v>
      </c>
      <c r="AO202" s="375">
        <f t="shared" si="62"/>
      </c>
      <c r="AP202" s="379" t="str">
        <f t="shared" si="63"/>
        <v>-</v>
      </c>
      <c r="AQ202" s="375" t="e">
        <f t="shared" si="74"/>
        <v>#VALUE!</v>
      </c>
      <c r="AR202" s="375">
        <f t="shared" si="85"/>
      </c>
    </row>
    <row r="203" spans="1:44" s="380" customFormat="1" ht="13.5" customHeight="1">
      <c r="A203" s="375" t="str">
        <f>IF(ISBLANK(F203)=TRUE," ",IF(ISBLANK('様式2'!$C$23)=TRUE," ",'様式2'!$C$23))</f>
        <v> </v>
      </c>
      <c r="B203" s="375" t="e">
        <f>LOOKUP(LOOKUP(C203,'様式3'!$A$5:$A$44,'様式3'!$C$5:$C$44),'産業分類表'!$D$2:$D$68,'産業分類表'!$E$2:$E$68)</f>
        <v>#N/A</v>
      </c>
      <c r="C203" s="343"/>
      <c r="D203" s="343"/>
      <c r="E203" s="343"/>
      <c r="F203" s="343"/>
      <c r="G203" s="341"/>
      <c r="H203" s="349"/>
      <c r="I203" s="343"/>
      <c r="J203" s="343"/>
      <c r="K203" s="342"/>
      <c r="L203" s="350"/>
      <c r="M203" s="351"/>
      <c r="N203" s="343"/>
      <c r="O203" s="354">
        <f t="shared" si="75"/>
      </c>
      <c r="P203" s="354">
        <f t="shared" si="76"/>
      </c>
      <c r="Q203" s="389"/>
      <c r="R203" s="376">
        <f aca="true" t="shared" si="86" ref="R203:R266">IF(O203="","",IF(ISERROR(O203*AB203),"要確認",IF(ISBLANK(Q203)=TRUE,"要確認",IF(ISBLANK(O203)=TRUE,"要確認",O203*AB203*Q203/1000))))</f>
      </c>
      <c r="S203" s="376">
        <f aca="true" t="shared" si="87" ref="S203:S266">IF(P203="","",IF(ISERROR(P203*AB203),"要確認",IF(ISBLANK(Q203)=TRUE,"要確認",IF(ISBLANK(P203)=TRUE,"要確認",P203*AB203*Q203/1000))))</f>
      </c>
      <c r="T203" s="352"/>
      <c r="U203" s="353"/>
      <c r="V203" s="352"/>
      <c r="W203" s="343"/>
      <c r="X203" s="388">
        <f t="shared" si="83"/>
      </c>
      <c r="Y203" s="375" t="e">
        <f t="shared" si="78"/>
        <v>#N/A</v>
      </c>
      <c r="Z203" s="375" t="e">
        <f t="shared" si="79"/>
        <v>#N/A</v>
      </c>
      <c r="AA203" s="375">
        <f t="shared" si="84"/>
      </c>
      <c r="AB203" s="377">
        <f t="shared" si="54"/>
        <v>1</v>
      </c>
      <c r="AC203" s="375" t="str">
        <f t="shared" si="55"/>
        <v> </v>
      </c>
      <c r="AD203" s="375" t="e">
        <f t="shared" si="56"/>
        <v>#N/A</v>
      </c>
      <c r="AE203" s="375" t="str">
        <f t="shared" si="57"/>
        <v> </v>
      </c>
      <c r="AF203" s="375" t="e">
        <f t="shared" si="80"/>
        <v>#N/A</v>
      </c>
      <c r="AG203" s="378" t="str">
        <f t="shared" si="58"/>
        <v> </v>
      </c>
      <c r="AH203" s="379" t="e">
        <f t="shared" si="59"/>
        <v>#VALUE!</v>
      </c>
      <c r="AI203" s="378" t="e">
        <f t="shared" si="77"/>
        <v>#VALUE!</v>
      </c>
      <c r="AJ203" s="375" t="e">
        <f t="shared" si="61"/>
        <v>#N/A</v>
      </c>
      <c r="AK203" s="375" t="e">
        <f>VLOOKUP(AJ203,'排出係数表'!$A$4:$C$202,2,FALSE)</f>
        <v>#N/A</v>
      </c>
      <c r="AL203" s="375" t="e">
        <f t="shared" si="81"/>
        <v>#N/A</v>
      </c>
      <c r="AM203" s="375" t="e">
        <f>VLOOKUP(AJ203,'排出係数表'!$A$4:$C$202,3,FALSE)</f>
        <v>#N/A</v>
      </c>
      <c r="AN203" s="375" t="e">
        <f t="shared" si="82"/>
        <v>#N/A</v>
      </c>
      <c r="AO203" s="375">
        <f t="shared" si="62"/>
      </c>
      <c r="AP203" s="379" t="str">
        <f t="shared" si="63"/>
        <v>-</v>
      </c>
      <c r="AQ203" s="375" t="e">
        <f t="shared" si="74"/>
        <v>#VALUE!</v>
      </c>
      <c r="AR203" s="375">
        <f t="shared" si="85"/>
      </c>
    </row>
    <row r="204" spans="1:44" s="380" customFormat="1" ht="13.5" customHeight="1">
      <c r="A204" s="375" t="str">
        <f>IF(ISBLANK(F204)=TRUE," ",IF(ISBLANK('様式2'!$C$23)=TRUE," ",'様式2'!$C$23))</f>
        <v> </v>
      </c>
      <c r="B204" s="375" t="e">
        <f>LOOKUP(LOOKUP(C204,'様式3'!$A$5:$A$44,'様式3'!$C$5:$C$44),'産業分類表'!$D$2:$D$68,'産業分類表'!$E$2:$E$68)</f>
        <v>#N/A</v>
      </c>
      <c r="C204" s="343"/>
      <c r="D204" s="343"/>
      <c r="E204" s="343"/>
      <c r="F204" s="343"/>
      <c r="G204" s="341"/>
      <c r="H204" s="349"/>
      <c r="I204" s="343"/>
      <c r="J204" s="343"/>
      <c r="K204" s="342"/>
      <c r="L204" s="350"/>
      <c r="M204" s="351"/>
      <c r="N204" s="343"/>
      <c r="O204" s="354">
        <f t="shared" si="75"/>
      </c>
      <c r="P204" s="354">
        <f t="shared" si="76"/>
      </c>
      <c r="Q204" s="389"/>
      <c r="R204" s="376">
        <f t="shared" si="86"/>
      </c>
      <c r="S204" s="376">
        <f t="shared" si="87"/>
      </c>
      <c r="T204" s="352"/>
      <c r="U204" s="353"/>
      <c r="V204" s="352"/>
      <c r="W204" s="343"/>
      <c r="X204" s="388">
        <f t="shared" si="83"/>
      </c>
      <c r="Y204" s="375" t="e">
        <f t="shared" si="78"/>
        <v>#N/A</v>
      </c>
      <c r="Z204" s="375" t="e">
        <f t="shared" si="79"/>
        <v>#N/A</v>
      </c>
      <c r="AA204" s="375">
        <f t="shared" si="84"/>
      </c>
      <c r="AB204" s="377">
        <f t="shared" si="54"/>
        <v>1</v>
      </c>
      <c r="AC204" s="375" t="str">
        <f t="shared" si="55"/>
        <v> </v>
      </c>
      <c r="AD204" s="375" t="e">
        <f t="shared" si="56"/>
        <v>#N/A</v>
      </c>
      <c r="AE204" s="375" t="str">
        <f t="shared" si="57"/>
        <v> </v>
      </c>
      <c r="AF204" s="375" t="e">
        <f t="shared" si="80"/>
        <v>#N/A</v>
      </c>
      <c r="AG204" s="378" t="str">
        <f t="shared" si="58"/>
        <v> </v>
      </c>
      <c r="AH204" s="379" t="e">
        <f t="shared" si="59"/>
        <v>#VALUE!</v>
      </c>
      <c r="AI204" s="378" t="e">
        <f t="shared" si="77"/>
        <v>#VALUE!</v>
      </c>
      <c r="AJ204" s="375" t="e">
        <f t="shared" si="61"/>
        <v>#N/A</v>
      </c>
      <c r="AK204" s="375" t="e">
        <f>VLOOKUP(AJ204,'排出係数表'!$A$4:$C$202,2,FALSE)</f>
        <v>#N/A</v>
      </c>
      <c r="AL204" s="375" t="e">
        <f t="shared" si="81"/>
        <v>#N/A</v>
      </c>
      <c r="AM204" s="375" t="e">
        <f>VLOOKUP(AJ204,'排出係数表'!$A$4:$C$202,3,FALSE)</f>
        <v>#N/A</v>
      </c>
      <c r="AN204" s="375" t="e">
        <f t="shared" si="82"/>
        <v>#N/A</v>
      </c>
      <c r="AO204" s="375">
        <f t="shared" si="62"/>
      </c>
      <c r="AP204" s="379" t="str">
        <f t="shared" si="63"/>
        <v>-</v>
      </c>
      <c r="AQ204" s="375" t="e">
        <f aca="true" t="shared" si="88" ref="AQ204:AQ267">IF(ISBLANK(T204)=TRUE,AI204,IF(T204="減車","減車",IF(OR(V204="同車種",ISBLANK(V204)=TRUE),IF(ISBLANK(W204)=TRUE,Z204&amp;AE204,VALUE(LEFT(W204,2))&amp;Z204&amp;AE204),IF(ISBLANK(W204)=TRUE,V204,VALUE(LEFT(W204,2))&amp;V204))))</f>
        <v>#VALUE!</v>
      </c>
      <c r="AR204" s="375">
        <f t="shared" si="85"/>
      </c>
    </row>
    <row r="205" spans="1:44" s="380" customFormat="1" ht="13.5" customHeight="1">
      <c r="A205" s="375" t="str">
        <f>IF(ISBLANK(F205)=TRUE," ",IF(ISBLANK('様式2'!$C$23)=TRUE," ",'様式2'!$C$23))</f>
        <v> </v>
      </c>
      <c r="B205" s="375" t="e">
        <f>LOOKUP(LOOKUP(C205,'様式3'!$A$5:$A$44,'様式3'!$C$5:$C$44),'産業分類表'!$D$2:$D$68,'産業分類表'!$E$2:$E$68)</f>
        <v>#N/A</v>
      </c>
      <c r="C205" s="343"/>
      <c r="D205" s="343"/>
      <c r="E205" s="343"/>
      <c r="F205" s="343"/>
      <c r="G205" s="341"/>
      <c r="H205" s="349"/>
      <c r="I205" s="343"/>
      <c r="J205" s="343"/>
      <c r="K205" s="342"/>
      <c r="L205" s="350"/>
      <c r="M205" s="351"/>
      <c r="N205" s="343"/>
      <c r="O205" s="354">
        <f t="shared" si="75"/>
      </c>
      <c r="P205" s="354">
        <f t="shared" si="76"/>
      </c>
      <c r="Q205" s="389"/>
      <c r="R205" s="376">
        <f t="shared" si="86"/>
      </c>
      <c r="S205" s="376">
        <f t="shared" si="87"/>
      </c>
      <c r="T205" s="352"/>
      <c r="U205" s="353"/>
      <c r="V205" s="352"/>
      <c r="W205" s="343"/>
      <c r="X205" s="388">
        <f t="shared" si="83"/>
      </c>
      <c r="Y205" s="375" t="e">
        <f t="shared" si="78"/>
        <v>#N/A</v>
      </c>
      <c r="Z205" s="375" t="e">
        <f t="shared" si="79"/>
        <v>#N/A</v>
      </c>
      <c r="AA205" s="375">
        <f t="shared" si="84"/>
      </c>
      <c r="AB205" s="377">
        <f t="shared" si="54"/>
        <v>1</v>
      </c>
      <c r="AC205" s="375" t="str">
        <f t="shared" si="55"/>
        <v> </v>
      </c>
      <c r="AD205" s="375" t="e">
        <f t="shared" si="56"/>
        <v>#N/A</v>
      </c>
      <c r="AE205" s="375" t="str">
        <f t="shared" si="57"/>
        <v> </v>
      </c>
      <c r="AF205" s="375" t="e">
        <f t="shared" si="80"/>
        <v>#N/A</v>
      </c>
      <c r="AG205" s="378" t="str">
        <f t="shared" si="58"/>
        <v> </v>
      </c>
      <c r="AH205" s="379" t="e">
        <f t="shared" si="59"/>
        <v>#VALUE!</v>
      </c>
      <c r="AI205" s="378" t="e">
        <f t="shared" si="77"/>
        <v>#VALUE!</v>
      </c>
      <c r="AJ205" s="375" t="e">
        <f t="shared" si="61"/>
        <v>#N/A</v>
      </c>
      <c r="AK205" s="375" t="e">
        <f>VLOOKUP(AJ205,'排出係数表'!$A$4:$C$202,2,FALSE)</f>
        <v>#N/A</v>
      </c>
      <c r="AL205" s="375" t="e">
        <f t="shared" si="81"/>
        <v>#N/A</v>
      </c>
      <c r="AM205" s="375" t="e">
        <f>VLOOKUP(AJ205,'排出係数表'!$A$4:$C$202,3,FALSE)</f>
        <v>#N/A</v>
      </c>
      <c r="AN205" s="375" t="e">
        <f t="shared" si="82"/>
        <v>#N/A</v>
      </c>
      <c r="AO205" s="375">
        <f t="shared" si="62"/>
      </c>
      <c r="AP205" s="379" t="str">
        <f t="shared" si="63"/>
        <v>-</v>
      </c>
      <c r="AQ205" s="375" t="e">
        <f t="shared" si="88"/>
        <v>#VALUE!</v>
      </c>
      <c r="AR205" s="375">
        <f t="shared" si="85"/>
      </c>
    </row>
    <row r="206" spans="1:44" s="380" customFormat="1" ht="13.5" customHeight="1">
      <c r="A206" s="375" t="str">
        <f>IF(ISBLANK(F206)=TRUE," ",IF(ISBLANK('様式2'!$C$23)=TRUE," ",'様式2'!$C$23))</f>
        <v> </v>
      </c>
      <c r="B206" s="375" t="e">
        <f>LOOKUP(LOOKUP(C206,'様式3'!$A$5:$A$44,'様式3'!$C$5:$C$44),'産業分類表'!$D$2:$D$68,'産業分類表'!$E$2:$E$68)</f>
        <v>#N/A</v>
      </c>
      <c r="C206" s="343"/>
      <c r="D206" s="343"/>
      <c r="E206" s="343"/>
      <c r="F206" s="343"/>
      <c r="G206" s="341"/>
      <c r="H206" s="349"/>
      <c r="I206" s="343"/>
      <c r="J206" s="343"/>
      <c r="K206" s="342"/>
      <c r="L206" s="350"/>
      <c r="M206" s="351"/>
      <c r="N206" s="343"/>
      <c r="O206" s="354">
        <f t="shared" si="75"/>
      </c>
      <c r="P206" s="354">
        <f t="shared" si="76"/>
      </c>
      <c r="Q206" s="389"/>
      <c r="R206" s="376">
        <f t="shared" si="86"/>
      </c>
      <c r="S206" s="376">
        <f t="shared" si="87"/>
      </c>
      <c r="T206" s="352"/>
      <c r="U206" s="353"/>
      <c r="V206" s="352"/>
      <c r="W206" s="343"/>
      <c r="X206" s="388">
        <f t="shared" si="83"/>
      </c>
      <c r="Y206" s="375" t="e">
        <f t="shared" si="78"/>
        <v>#N/A</v>
      </c>
      <c r="Z206" s="375" t="e">
        <f t="shared" si="79"/>
        <v>#N/A</v>
      </c>
      <c r="AA206" s="375">
        <f t="shared" si="84"/>
      </c>
      <c r="AB206" s="377">
        <f t="shared" si="54"/>
        <v>1</v>
      </c>
      <c r="AC206" s="375" t="str">
        <f t="shared" si="55"/>
        <v> </v>
      </c>
      <c r="AD206" s="375" t="e">
        <f t="shared" si="56"/>
        <v>#N/A</v>
      </c>
      <c r="AE206" s="375" t="str">
        <f t="shared" si="57"/>
        <v> </v>
      </c>
      <c r="AF206" s="375" t="e">
        <f t="shared" si="80"/>
        <v>#N/A</v>
      </c>
      <c r="AG206" s="378" t="str">
        <f t="shared" si="58"/>
        <v> </v>
      </c>
      <c r="AH206" s="379" t="e">
        <f t="shared" si="59"/>
        <v>#VALUE!</v>
      </c>
      <c r="AI206" s="378" t="e">
        <f t="shared" si="77"/>
        <v>#VALUE!</v>
      </c>
      <c r="AJ206" s="375" t="e">
        <f t="shared" si="61"/>
        <v>#N/A</v>
      </c>
      <c r="AK206" s="375" t="e">
        <f>VLOOKUP(AJ206,'排出係数表'!$A$4:$C$202,2,FALSE)</f>
        <v>#N/A</v>
      </c>
      <c r="AL206" s="375" t="e">
        <f t="shared" si="81"/>
        <v>#N/A</v>
      </c>
      <c r="AM206" s="375" t="e">
        <f>VLOOKUP(AJ206,'排出係数表'!$A$4:$C$202,3,FALSE)</f>
        <v>#N/A</v>
      </c>
      <c r="AN206" s="375" t="e">
        <f t="shared" si="82"/>
        <v>#N/A</v>
      </c>
      <c r="AO206" s="375">
        <f t="shared" si="62"/>
      </c>
      <c r="AP206" s="379" t="str">
        <f t="shared" si="63"/>
        <v>-</v>
      </c>
      <c r="AQ206" s="375" t="e">
        <f t="shared" si="88"/>
        <v>#VALUE!</v>
      </c>
      <c r="AR206" s="375">
        <f t="shared" si="85"/>
      </c>
    </row>
    <row r="207" spans="1:44" s="380" customFormat="1" ht="13.5" customHeight="1">
      <c r="A207" s="375" t="str">
        <f>IF(ISBLANK(F207)=TRUE," ",IF(ISBLANK('様式2'!$C$23)=TRUE," ",'様式2'!$C$23))</f>
        <v> </v>
      </c>
      <c r="B207" s="375" t="e">
        <f>LOOKUP(LOOKUP(C207,'様式3'!$A$5:$A$44,'様式3'!$C$5:$C$44),'産業分類表'!$D$2:$D$68,'産業分類表'!$E$2:$E$68)</f>
        <v>#N/A</v>
      </c>
      <c r="C207" s="343"/>
      <c r="D207" s="343"/>
      <c r="E207" s="343"/>
      <c r="F207" s="343"/>
      <c r="G207" s="341"/>
      <c r="H207" s="349"/>
      <c r="I207" s="343"/>
      <c r="J207" s="343"/>
      <c r="K207" s="342"/>
      <c r="L207" s="350"/>
      <c r="M207" s="351"/>
      <c r="N207" s="343"/>
      <c r="O207" s="354">
        <f t="shared" si="75"/>
      </c>
      <c r="P207" s="354">
        <f t="shared" si="76"/>
      </c>
      <c r="Q207" s="389"/>
      <c r="R207" s="376">
        <f t="shared" si="86"/>
      </c>
      <c r="S207" s="376">
        <f t="shared" si="87"/>
      </c>
      <c r="T207" s="352"/>
      <c r="U207" s="353"/>
      <c r="V207" s="352"/>
      <c r="W207" s="343"/>
      <c r="X207" s="388">
        <f t="shared" si="83"/>
      </c>
      <c r="Y207" s="375" t="e">
        <f t="shared" si="78"/>
        <v>#N/A</v>
      </c>
      <c r="Z207" s="375" t="e">
        <f t="shared" si="79"/>
        <v>#N/A</v>
      </c>
      <c r="AA207" s="375">
        <f t="shared" si="84"/>
      </c>
      <c r="AB207" s="377">
        <f t="shared" si="54"/>
        <v>1</v>
      </c>
      <c r="AC207" s="375" t="str">
        <f t="shared" si="55"/>
        <v> </v>
      </c>
      <c r="AD207" s="375" t="e">
        <f t="shared" si="56"/>
        <v>#N/A</v>
      </c>
      <c r="AE207" s="375" t="str">
        <f t="shared" si="57"/>
        <v> </v>
      </c>
      <c r="AF207" s="375" t="e">
        <f t="shared" si="80"/>
        <v>#N/A</v>
      </c>
      <c r="AG207" s="378" t="str">
        <f t="shared" si="58"/>
        <v> </v>
      </c>
      <c r="AH207" s="379" t="e">
        <f t="shared" si="59"/>
        <v>#VALUE!</v>
      </c>
      <c r="AI207" s="378" t="e">
        <f t="shared" si="77"/>
        <v>#VALUE!</v>
      </c>
      <c r="AJ207" s="375" t="e">
        <f t="shared" si="61"/>
        <v>#N/A</v>
      </c>
      <c r="AK207" s="375" t="e">
        <f>VLOOKUP(AJ207,'排出係数表'!$A$4:$C$202,2,FALSE)</f>
        <v>#N/A</v>
      </c>
      <c r="AL207" s="375" t="e">
        <f t="shared" si="81"/>
        <v>#N/A</v>
      </c>
      <c r="AM207" s="375" t="e">
        <f>VLOOKUP(AJ207,'排出係数表'!$A$4:$C$202,3,FALSE)</f>
        <v>#N/A</v>
      </c>
      <c r="AN207" s="375" t="e">
        <f t="shared" si="82"/>
        <v>#N/A</v>
      </c>
      <c r="AO207" s="375">
        <f t="shared" si="62"/>
      </c>
      <c r="AP207" s="379" t="str">
        <f t="shared" si="63"/>
        <v>-</v>
      </c>
      <c r="AQ207" s="375" t="e">
        <f t="shared" si="88"/>
        <v>#VALUE!</v>
      </c>
      <c r="AR207" s="375">
        <f t="shared" si="85"/>
      </c>
    </row>
    <row r="208" spans="1:44" s="380" customFormat="1" ht="13.5" customHeight="1">
      <c r="A208" s="375" t="str">
        <f>IF(ISBLANK(F208)=TRUE," ",IF(ISBLANK('様式2'!$C$23)=TRUE," ",'様式2'!$C$23))</f>
        <v> </v>
      </c>
      <c r="B208" s="375" t="e">
        <f>LOOKUP(LOOKUP(C208,'様式3'!$A$5:$A$44,'様式3'!$C$5:$C$44),'産業分類表'!$D$2:$D$68,'産業分類表'!$E$2:$E$68)</f>
        <v>#N/A</v>
      </c>
      <c r="C208" s="343"/>
      <c r="D208" s="343"/>
      <c r="E208" s="343"/>
      <c r="F208" s="343"/>
      <c r="G208" s="341"/>
      <c r="H208" s="349"/>
      <c r="I208" s="343"/>
      <c r="J208" s="343"/>
      <c r="K208" s="342"/>
      <c r="L208" s="350"/>
      <c r="M208" s="351"/>
      <c r="N208" s="343"/>
      <c r="O208" s="354">
        <f t="shared" si="75"/>
      </c>
      <c r="P208" s="354">
        <f t="shared" si="76"/>
      </c>
      <c r="Q208" s="389"/>
      <c r="R208" s="376">
        <f t="shared" si="86"/>
      </c>
      <c r="S208" s="376">
        <f t="shared" si="87"/>
      </c>
      <c r="T208" s="352"/>
      <c r="U208" s="353"/>
      <c r="V208" s="352"/>
      <c r="W208" s="343"/>
      <c r="X208" s="388">
        <f t="shared" si="83"/>
      </c>
      <c r="Y208" s="375" t="e">
        <f t="shared" si="78"/>
        <v>#N/A</v>
      </c>
      <c r="Z208" s="375" t="e">
        <f t="shared" si="79"/>
        <v>#N/A</v>
      </c>
      <c r="AA208" s="375">
        <f t="shared" si="84"/>
      </c>
      <c r="AB208" s="377">
        <f t="shared" si="54"/>
        <v>1</v>
      </c>
      <c r="AC208" s="375" t="str">
        <f t="shared" si="55"/>
        <v> </v>
      </c>
      <c r="AD208" s="375" t="e">
        <f t="shared" si="56"/>
        <v>#N/A</v>
      </c>
      <c r="AE208" s="375" t="str">
        <f t="shared" si="57"/>
        <v> </v>
      </c>
      <c r="AF208" s="375" t="e">
        <f t="shared" si="80"/>
        <v>#N/A</v>
      </c>
      <c r="AG208" s="378" t="str">
        <f t="shared" si="58"/>
        <v> </v>
      </c>
      <c r="AH208" s="379" t="e">
        <f t="shared" si="59"/>
        <v>#VALUE!</v>
      </c>
      <c r="AI208" s="378" t="e">
        <f t="shared" si="77"/>
        <v>#VALUE!</v>
      </c>
      <c r="AJ208" s="375" t="e">
        <f t="shared" si="61"/>
        <v>#N/A</v>
      </c>
      <c r="AK208" s="375" t="e">
        <f>VLOOKUP(AJ208,'排出係数表'!$A$4:$C$202,2,FALSE)</f>
        <v>#N/A</v>
      </c>
      <c r="AL208" s="375" t="e">
        <f t="shared" si="81"/>
        <v>#N/A</v>
      </c>
      <c r="AM208" s="375" t="e">
        <f>VLOOKUP(AJ208,'排出係数表'!$A$4:$C$202,3,FALSE)</f>
        <v>#N/A</v>
      </c>
      <c r="AN208" s="375" t="e">
        <f t="shared" si="82"/>
        <v>#N/A</v>
      </c>
      <c r="AO208" s="375">
        <f t="shared" si="62"/>
      </c>
      <c r="AP208" s="379" t="str">
        <f t="shared" si="63"/>
        <v>-</v>
      </c>
      <c r="AQ208" s="375" t="e">
        <f t="shared" si="88"/>
        <v>#VALUE!</v>
      </c>
      <c r="AR208" s="375">
        <f t="shared" si="85"/>
      </c>
    </row>
    <row r="209" spans="1:44" s="380" customFormat="1" ht="13.5" customHeight="1">
      <c r="A209" s="375" t="str">
        <f>IF(ISBLANK(F209)=TRUE," ",IF(ISBLANK('様式2'!$C$23)=TRUE," ",'様式2'!$C$23))</f>
        <v> </v>
      </c>
      <c r="B209" s="375" t="e">
        <f>LOOKUP(LOOKUP(C209,'様式3'!$A$5:$A$44,'様式3'!$C$5:$C$44),'産業分類表'!$D$2:$D$68,'産業分類表'!$E$2:$E$68)</f>
        <v>#N/A</v>
      </c>
      <c r="C209" s="343"/>
      <c r="D209" s="343"/>
      <c r="E209" s="343"/>
      <c r="F209" s="343"/>
      <c r="G209" s="341"/>
      <c r="H209" s="349"/>
      <c r="I209" s="343"/>
      <c r="J209" s="343"/>
      <c r="K209" s="342"/>
      <c r="L209" s="350"/>
      <c r="M209" s="351"/>
      <c r="N209" s="343"/>
      <c r="O209" s="354">
        <f t="shared" si="75"/>
      </c>
      <c r="P209" s="354">
        <f t="shared" si="76"/>
      </c>
      <c r="Q209" s="389"/>
      <c r="R209" s="376">
        <f t="shared" si="86"/>
      </c>
      <c r="S209" s="376">
        <f t="shared" si="87"/>
      </c>
      <c r="T209" s="352"/>
      <c r="U209" s="353"/>
      <c r="V209" s="352"/>
      <c r="W209" s="343"/>
      <c r="X209" s="388">
        <f t="shared" si="83"/>
      </c>
      <c r="Y209" s="375" t="e">
        <f t="shared" si="78"/>
        <v>#N/A</v>
      </c>
      <c r="Z209" s="375" t="e">
        <f t="shared" si="79"/>
        <v>#N/A</v>
      </c>
      <c r="AA209" s="375">
        <f t="shared" si="84"/>
      </c>
      <c r="AB209" s="377">
        <f t="shared" si="54"/>
        <v>1</v>
      </c>
      <c r="AC209" s="375" t="str">
        <f t="shared" si="55"/>
        <v> </v>
      </c>
      <c r="AD209" s="375" t="e">
        <f t="shared" si="56"/>
        <v>#N/A</v>
      </c>
      <c r="AE209" s="375" t="str">
        <f t="shared" si="57"/>
        <v> </v>
      </c>
      <c r="AF209" s="375" t="e">
        <f t="shared" si="80"/>
        <v>#N/A</v>
      </c>
      <c r="AG209" s="378" t="str">
        <f t="shared" si="58"/>
        <v> </v>
      </c>
      <c r="AH209" s="379" t="e">
        <f t="shared" si="59"/>
        <v>#VALUE!</v>
      </c>
      <c r="AI209" s="378" t="e">
        <f t="shared" si="77"/>
        <v>#VALUE!</v>
      </c>
      <c r="AJ209" s="375" t="e">
        <f t="shared" si="61"/>
        <v>#N/A</v>
      </c>
      <c r="AK209" s="375" t="e">
        <f>VLOOKUP(AJ209,'排出係数表'!$A$4:$C$202,2,FALSE)</f>
        <v>#N/A</v>
      </c>
      <c r="AL209" s="375" t="e">
        <f t="shared" si="81"/>
        <v>#N/A</v>
      </c>
      <c r="AM209" s="375" t="e">
        <f>VLOOKUP(AJ209,'排出係数表'!$A$4:$C$202,3,FALSE)</f>
        <v>#N/A</v>
      </c>
      <c r="AN209" s="375" t="e">
        <f t="shared" si="82"/>
        <v>#N/A</v>
      </c>
      <c r="AO209" s="375">
        <f t="shared" si="62"/>
      </c>
      <c r="AP209" s="379" t="str">
        <f t="shared" si="63"/>
        <v>-</v>
      </c>
      <c r="AQ209" s="375" t="e">
        <f t="shared" si="88"/>
        <v>#VALUE!</v>
      </c>
      <c r="AR209" s="375">
        <f t="shared" si="85"/>
      </c>
    </row>
    <row r="210" spans="1:44" s="380" customFormat="1" ht="13.5" customHeight="1">
      <c r="A210" s="375" t="str">
        <f>IF(ISBLANK(F210)=TRUE," ",IF(ISBLANK('様式2'!$C$23)=TRUE," ",'様式2'!$C$23))</f>
        <v> </v>
      </c>
      <c r="B210" s="375" t="e">
        <f>LOOKUP(LOOKUP(C210,'様式3'!$A$5:$A$44,'様式3'!$C$5:$C$44),'産業分類表'!$D$2:$D$68,'産業分類表'!$E$2:$E$68)</f>
        <v>#N/A</v>
      </c>
      <c r="C210" s="343"/>
      <c r="D210" s="343"/>
      <c r="E210" s="343"/>
      <c r="F210" s="343"/>
      <c r="G210" s="341"/>
      <c r="H210" s="349"/>
      <c r="I210" s="343"/>
      <c r="J210" s="343"/>
      <c r="K210" s="342"/>
      <c r="L210" s="350"/>
      <c r="M210" s="351"/>
      <c r="N210" s="343"/>
      <c r="O210" s="354">
        <f t="shared" si="75"/>
      </c>
      <c r="P210" s="354">
        <f t="shared" si="76"/>
      </c>
      <c r="Q210" s="389"/>
      <c r="R210" s="376">
        <f t="shared" si="86"/>
      </c>
      <c r="S210" s="376">
        <f t="shared" si="87"/>
      </c>
      <c r="T210" s="352"/>
      <c r="U210" s="353"/>
      <c r="V210" s="352"/>
      <c r="W210" s="343"/>
      <c r="X210" s="388">
        <f t="shared" si="83"/>
      </c>
      <c r="Y210" s="375" t="e">
        <f t="shared" si="78"/>
        <v>#N/A</v>
      </c>
      <c r="Z210" s="375" t="e">
        <f t="shared" si="79"/>
        <v>#N/A</v>
      </c>
      <c r="AA210" s="375">
        <f t="shared" si="84"/>
      </c>
      <c r="AB210" s="377">
        <f t="shared" si="54"/>
        <v>1</v>
      </c>
      <c r="AC210" s="375" t="str">
        <f t="shared" si="55"/>
        <v> </v>
      </c>
      <c r="AD210" s="375" t="e">
        <f t="shared" si="56"/>
        <v>#N/A</v>
      </c>
      <c r="AE210" s="375" t="str">
        <f t="shared" si="57"/>
        <v> </v>
      </c>
      <c r="AF210" s="375" t="e">
        <f t="shared" si="80"/>
        <v>#N/A</v>
      </c>
      <c r="AG210" s="378" t="str">
        <f t="shared" si="58"/>
        <v> </v>
      </c>
      <c r="AH210" s="379" t="e">
        <f t="shared" si="59"/>
        <v>#VALUE!</v>
      </c>
      <c r="AI210" s="378" t="e">
        <f t="shared" si="77"/>
        <v>#VALUE!</v>
      </c>
      <c r="AJ210" s="375" t="e">
        <f t="shared" si="61"/>
        <v>#N/A</v>
      </c>
      <c r="AK210" s="375" t="e">
        <f>VLOOKUP(AJ210,'排出係数表'!$A$4:$C$202,2,FALSE)</f>
        <v>#N/A</v>
      </c>
      <c r="AL210" s="375" t="e">
        <f t="shared" si="81"/>
        <v>#N/A</v>
      </c>
      <c r="AM210" s="375" t="e">
        <f>VLOOKUP(AJ210,'排出係数表'!$A$4:$C$202,3,FALSE)</f>
        <v>#N/A</v>
      </c>
      <c r="AN210" s="375" t="e">
        <f t="shared" si="82"/>
        <v>#N/A</v>
      </c>
      <c r="AO210" s="375">
        <f t="shared" si="62"/>
      </c>
      <c r="AP210" s="379" t="str">
        <f t="shared" si="63"/>
        <v>-</v>
      </c>
      <c r="AQ210" s="375" t="e">
        <f t="shared" si="88"/>
        <v>#VALUE!</v>
      </c>
      <c r="AR210" s="375">
        <f t="shared" si="85"/>
      </c>
    </row>
    <row r="211" spans="1:44" s="380" customFormat="1" ht="13.5" customHeight="1">
      <c r="A211" s="375" t="str">
        <f>IF(ISBLANK(F211)=TRUE," ",IF(ISBLANK('様式2'!$C$23)=TRUE," ",'様式2'!$C$23))</f>
        <v> </v>
      </c>
      <c r="B211" s="375" t="e">
        <f>LOOKUP(LOOKUP(C211,'様式3'!$A$5:$A$44,'様式3'!$C$5:$C$44),'産業分類表'!$D$2:$D$68,'産業分類表'!$E$2:$E$68)</f>
        <v>#N/A</v>
      </c>
      <c r="C211" s="343"/>
      <c r="D211" s="343"/>
      <c r="E211" s="343"/>
      <c r="F211" s="343"/>
      <c r="G211" s="341"/>
      <c r="H211" s="349"/>
      <c r="I211" s="343"/>
      <c r="J211" s="343"/>
      <c r="K211" s="342"/>
      <c r="L211" s="350"/>
      <c r="M211" s="351"/>
      <c r="N211" s="343"/>
      <c r="O211" s="354">
        <f aca="true" t="shared" si="89" ref="O211:O274">IF(ISBLANK(J211)=TRUE,"",IF(AF211="メ","要確認",IF(ISBLANK(M211)=TRUE,IF(ISNUMBER(AK211*AL211)=TRUE,AK211*AL211,"要確認"),"要確認")))</f>
      </c>
      <c r="P211" s="354">
        <f aca="true" t="shared" si="90" ref="P211:P274">IF(ISBLANK(J211)=TRUE,"",IF(AF211="メ","要確認",IF(ISBLANK(N211)=TRUE,IF(ISNUMBER(AM211*AN211)=TRUE,AM211*AN211,"要確認"),"要確認")))</f>
      </c>
      <c r="Q211" s="389"/>
      <c r="R211" s="376">
        <f t="shared" si="86"/>
      </c>
      <c r="S211" s="376">
        <f t="shared" si="87"/>
      </c>
      <c r="T211" s="352"/>
      <c r="U211" s="353"/>
      <c r="V211" s="352"/>
      <c r="W211" s="343"/>
      <c r="X211" s="388">
        <f t="shared" si="83"/>
      </c>
      <c r="Y211" s="375" t="e">
        <f t="shared" si="78"/>
        <v>#N/A</v>
      </c>
      <c r="Z211" s="375" t="e">
        <f t="shared" si="79"/>
        <v>#N/A</v>
      </c>
      <c r="AA211" s="375">
        <f t="shared" si="84"/>
      </c>
      <c r="AB211" s="377">
        <f t="shared" si="54"/>
        <v>1</v>
      </c>
      <c r="AC211" s="375" t="str">
        <f t="shared" si="55"/>
        <v> </v>
      </c>
      <c r="AD211" s="375" t="e">
        <f t="shared" si="56"/>
        <v>#N/A</v>
      </c>
      <c r="AE211" s="375" t="str">
        <f t="shared" si="57"/>
        <v> </v>
      </c>
      <c r="AF211" s="375" t="e">
        <f t="shared" si="80"/>
        <v>#N/A</v>
      </c>
      <c r="AG211" s="378" t="str">
        <f t="shared" si="58"/>
        <v> </v>
      </c>
      <c r="AH211" s="379" t="e">
        <f t="shared" si="59"/>
        <v>#VALUE!</v>
      </c>
      <c r="AI211" s="378" t="e">
        <f t="shared" si="77"/>
        <v>#VALUE!</v>
      </c>
      <c r="AJ211" s="375" t="e">
        <f t="shared" si="61"/>
        <v>#N/A</v>
      </c>
      <c r="AK211" s="375" t="e">
        <f>VLOOKUP(AJ211,'排出係数表'!$A$4:$C$202,2,FALSE)</f>
        <v>#N/A</v>
      </c>
      <c r="AL211" s="375" t="e">
        <f t="shared" si="81"/>
        <v>#N/A</v>
      </c>
      <c r="AM211" s="375" t="e">
        <f>VLOOKUP(AJ211,'排出係数表'!$A$4:$C$202,3,FALSE)</f>
        <v>#N/A</v>
      </c>
      <c r="AN211" s="375" t="e">
        <f t="shared" si="82"/>
        <v>#N/A</v>
      </c>
      <c r="AO211" s="375">
        <f t="shared" si="62"/>
      </c>
      <c r="AP211" s="379" t="str">
        <f t="shared" si="63"/>
        <v>-</v>
      </c>
      <c r="AQ211" s="375" t="e">
        <f t="shared" si="88"/>
        <v>#VALUE!</v>
      </c>
      <c r="AR211" s="375">
        <f t="shared" si="85"/>
      </c>
    </row>
    <row r="212" spans="1:44" s="380" customFormat="1" ht="13.5" customHeight="1">
      <c r="A212" s="375" t="str">
        <f>IF(ISBLANK(F212)=TRUE," ",IF(ISBLANK('様式2'!$C$23)=TRUE," ",'様式2'!$C$23))</f>
        <v> </v>
      </c>
      <c r="B212" s="375" t="e">
        <f>LOOKUP(LOOKUP(C212,'様式3'!$A$5:$A$44,'様式3'!$C$5:$C$44),'産業分類表'!$D$2:$D$68,'産業分類表'!$E$2:$E$68)</f>
        <v>#N/A</v>
      </c>
      <c r="C212" s="343"/>
      <c r="D212" s="343"/>
      <c r="E212" s="343"/>
      <c r="F212" s="343"/>
      <c r="G212" s="341"/>
      <c r="H212" s="349"/>
      <c r="I212" s="343"/>
      <c r="J212" s="343"/>
      <c r="K212" s="342"/>
      <c r="L212" s="350"/>
      <c r="M212" s="351"/>
      <c r="N212" s="343"/>
      <c r="O212" s="354">
        <f t="shared" si="89"/>
      </c>
      <c r="P212" s="354">
        <f t="shared" si="90"/>
      </c>
      <c r="Q212" s="389"/>
      <c r="R212" s="376">
        <f t="shared" si="86"/>
      </c>
      <c r="S212" s="376">
        <f t="shared" si="87"/>
      </c>
      <c r="T212" s="352"/>
      <c r="U212" s="353"/>
      <c r="V212" s="352"/>
      <c r="W212" s="343"/>
      <c r="X212" s="388">
        <f t="shared" si="83"/>
      </c>
      <c r="Y212" s="375" t="e">
        <f t="shared" si="78"/>
        <v>#N/A</v>
      </c>
      <c r="Z212" s="375" t="e">
        <f t="shared" si="79"/>
        <v>#N/A</v>
      </c>
      <c r="AA212" s="375">
        <f t="shared" si="84"/>
      </c>
      <c r="AB212" s="377">
        <f t="shared" si="54"/>
        <v>1</v>
      </c>
      <c r="AC212" s="375" t="str">
        <f t="shared" si="55"/>
        <v> </v>
      </c>
      <c r="AD212" s="375" t="e">
        <f t="shared" si="56"/>
        <v>#N/A</v>
      </c>
      <c r="AE212" s="375" t="str">
        <f t="shared" si="57"/>
        <v> </v>
      </c>
      <c r="AF212" s="375" t="e">
        <f t="shared" si="80"/>
        <v>#N/A</v>
      </c>
      <c r="AG212" s="378" t="str">
        <f t="shared" si="58"/>
        <v> </v>
      </c>
      <c r="AH212" s="379" t="e">
        <f t="shared" si="59"/>
        <v>#VALUE!</v>
      </c>
      <c r="AI212" s="378" t="e">
        <f t="shared" si="77"/>
        <v>#VALUE!</v>
      </c>
      <c r="AJ212" s="375" t="e">
        <f t="shared" si="61"/>
        <v>#N/A</v>
      </c>
      <c r="AK212" s="375" t="e">
        <f>VLOOKUP(AJ212,'排出係数表'!$A$4:$C$202,2,FALSE)</f>
        <v>#N/A</v>
      </c>
      <c r="AL212" s="375" t="e">
        <f t="shared" si="81"/>
        <v>#N/A</v>
      </c>
      <c r="AM212" s="375" t="e">
        <f>VLOOKUP(AJ212,'排出係数表'!$A$4:$C$202,3,FALSE)</f>
        <v>#N/A</v>
      </c>
      <c r="AN212" s="375" t="e">
        <f t="shared" si="82"/>
        <v>#N/A</v>
      </c>
      <c r="AO212" s="375">
        <f t="shared" si="62"/>
      </c>
      <c r="AP212" s="379" t="str">
        <f t="shared" si="63"/>
        <v>-</v>
      </c>
      <c r="AQ212" s="375" t="e">
        <f t="shared" si="88"/>
        <v>#VALUE!</v>
      </c>
      <c r="AR212" s="375">
        <f t="shared" si="85"/>
      </c>
    </row>
    <row r="213" spans="1:44" s="380" customFormat="1" ht="13.5" customHeight="1">
      <c r="A213" s="375" t="str">
        <f>IF(ISBLANK(F213)=TRUE," ",IF(ISBLANK('様式2'!$C$23)=TRUE," ",'様式2'!$C$23))</f>
        <v> </v>
      </c>
      <c r="B213" s="375" t="e">
        <f>LOOKUP(LOOKUP(C213,'様式3'!$A$5:$A$44,'様式3'!$C$5:$C$44),'産業分類表'!$D$2:$D$68,'産業分類表'!$E$2:$E$68)</f>
        <v>#N/A</v>
      </c>
      <c r="C213" s="343"/>
      <c r="D213" s="343"/>
      <c r="E213" s="343"/>
      <c r="F213" s="343"/>
      <c r="G213" s="341"/>
      <c r="H213" s="349"/>
      <c r="I213" s="343"/>
      <c r="J213" s="343"/>
      <c r="K213" s="342"/>
      <c r="L213" s="350"/>
      <c r="M213" s="351"/>
      <c r="N213" s="343"/>
      <c r="O213" s="354">
        <f t="shared" si="89"/>
      </c>
      <c r="P213" s="354">
        <f t="shared" si="90"/>
      </c>
      <c r="Q213" s="389"/>
      <c r="R213" s="376">
        <f t="shared" si="86"/>
      </c>
      <c r="S213" s="376">
        <f t="shared" si="87"/>
      </c>
      <c r="T213" s="352"/>
      <c r="U213" s="353"/>
      <c r="V213" s="352"/>
      <c r="W213" s="343"/>
      <c r="X213" s="388">
        <f t="shared" si="83"/>
      </c>
      <c r="Y213" s="375" t="e">
        <f t="shared" si="78"/>
        <v>#N/A</v>
      </c>
      <c r="Z213" s="375" t="e">
        <f t="shared" si="79"/>
        <v>#N/A</v>
      </c>
      <c r="AA213" s="375">
        <f t="shared" si="84"/>
      </c>
      <c r="AB213" s="377">
        <f t="shared" si="54"/>
        <v>1</v>
      </c>
      <c r="AC213" s="375" t="str">
        <f t="shared" si="55"/>
        <v> </v>
      </c>
      <c r="AD213" s="375" t="e">
        <f t="shared" si="56"/>
        <v>#N/A</v>
      </c>
      <c r="AE213" s="375" t="str">
        <f t="shared" si="57"/>
        <v> </v>
      </c>
      <c r="AF213" s="375" t="e">
        <f t="shared" si="80"/>
        <v>#N/A</v>
      </c>
      <c r="AG213" s="378" t="str">
        <f t="shared" si="58"/>
        <v> </v>
      </c>
      <c r="AH213" s="379" t="e">
        <f t="shared" si="59"/>
        <v>#VALUE!</v>
      </c>
      <c r="AI213" s="378" t="e">
        <f t="shared" si="77"/>
        <v>#VALUE!</v>
      </c>
      <c r="AJ213" s="375" t="e">
        <f t="shared" si="61"/>
        <v>#N/A</v>
      </c>
      <c r="AK213" s="375" t="e">
        <f>VLOOKUP(AJ213,'排出係数表'!$A$4:$C$202,2,FALSE)</f>
        <v>#N/A</v>
      </c>
      <c r="AL213" s="375" t="e">
        <f t="shared" si="81"/>
        <v>#N/A</v>
      </c>
      <c r="AM213" s="375" t="e">
        <f>VLOOKUP(AJ213,'排出係数表'!$A$4:$C$202,3,FALSE)</f>
        <v>#N/A</v>
      </c>
      <c r="AN213" s="375" t="e">
        <f t="shared" si="82"/>
        <v>#N/A</v>
      </c>
      <c r="AO213" s="375">
        <f t="shared" si="62"/>
      </c>
      <c r="AP213" s="379" t="str">
        <f t="shared" si="63"/>
        <v>-</v>
      </c>
      <c r="AQ213" s="375" t="e">
        <f t="shared" si="88"/>
        <v>#VALUE!</v>
      </c>
      <c r="AR213" s="375">
        <f t="shared" si="85"/>
      </c>
    </row>
    <row r="214" spans="1:44" s="380" customFormat="1" ht="13.5" customHeight="1">
      <c r="A214" s="375" t="str">
        <f>IF(ISBLANK(F214)=TRUE," ",IF(ISBLANK('様式2'!$C$23)=TRUE," ",'様式2'!$C$23))</f>
        <v> </v>
      </c>
      <c r="B214" s="375" t="e">
        <f>LOOKUP(LOOKUP(C214,'様式3'!$A$5:$A$44,'様式3'!$C$5:$C$44),'産業分類表'!$D$2:$D$68,'産業分類表'!$E$2:$E$68)</f>
        <v>#N/A</v>
      </c>
      <c r="C214" s="343"/>
      <c r="D214" s="343"/>
      <c r="E214" s="343"/>
      <c r="F214" s="343"/>
      <c r="G214" s="341"/>
      <c r="H214" s="349"/>
      <c r="I214" s="343"/>
      <c r="J214" s="343"/>
      <c r="K214" s="342"/>
      <c r="L214" s="350"/>
      <c r="M214" s="351"/>
      <c r="N214" s="343"/>
      <c r="O214" s="354">
        <f t="shared" si="89"/>
      </c>
      <c r="P214" s="354">
        <f t="shared" si="90"/>
      </c>
      <c r="Q214" s="389"/>
      <c r="R214" s="376">
        <f t="shared" si="86"/>
      </c>
      <c r="S214" s="376">
        <f t="shared" si="87"/>
      </c>
      <c r="T214" s="352"/>
      <c r="U214" s="353"/>
      <c r="V214" s="352"/>
      <c r="W214" s="343"/>
      <c r="X214" s="388">
        <f t="shared" si="83"/>
      </c>
      <c r="Y214" s="375" t="e">
        <f t="shared" si="78"/>
        <v>#N/A</v>
      </c>
      <c r="Z214" s="375" t="e">
        <f t="shared" si="79"/>
        <v>#N/A</v>
      </c>
      <c r="AA214" s="375">
        <f t="shared" si="84"/>
      </c>
      <c r="AB214" s="377">
        <f t="shared" si="54"/>
        <v>1</v>
      </c>
      <c r="AC214" s="375" t="str">
        <f t="shared" si="55"/>
        <v> </v>
      </c>
      <c r="AD214" s="375" t="e">
        <f t="shared" si="56"/>
        <v>#N/A</v>
      </c>
      <c r="AE214" s="375" t="str">
        <f t="shared" si="57"/>
        <v> </v>
      </c>
      <c r="AF214" s="375" t="e">
        <f t="shared" si="80"/>
        <v>#N/A</v>
      </c>
      <c r="AG214" s="378" t="str">
        <f t="shared" si="58"/>
        <v> </v>
      </c>
      <c r="AH214" s="379" t="e">
        <f t="shared" si="59"/>
        <v>#VALUE!</v>
      </c>
      <c r="AI214" s="378" t="e">
        <f t="shared" si="77"/>
        <v>#VALUE!</v>
      </c>
      <c r="AJ214" s="375" t="e">
        <f t="shared" si="61"/>
        <v>#N/A</v>
      </c>
      <c r="AK214" s="375" t="e">
        <f>VLOOKUP(AJ214,'排出係数表'!$A$4:$C$202,2,FALSE)</f>
        <v>#N/A</v>
      </c>
      <c r="AL214" s="375" t="e">
        <f t="shared" si="81"/>
        <v>#N/A</v>
      </c>
      <c r="AM214" s="375" t="e">
        <f>VLOOKUP(AJ214,'排出係数表'!$A$4:$C$202,3,FALSE)</f>
        <v>#N/A</v>
      </c>
      <c r="AN214" s="375" t="e">
        <f t="shared" si="82"/>
        <v>#N/A</v>
      </c>
      <c r="AO214" s="375">
        <f t="shared" si="62"/>
      </c>
      <c r="AP214" s="379" t="str">
        <f t="shared" si="63"/>
        <v>-</v>
      </c>
      <c r="AQ214" s="375" t="e">
        <f t="shared" si="88"/>
        <v>#VALUE!</v>
      </c>
      <c r="AR214" s="375">
        <f t="shared" si="85"/>
      </c>
    </row>
    <row r="215" spans="1:44" s="380" customFormat="1" ht="13.5" customHeight="1">
      <c r="A215" s="375" t="str">
        <f>IF(ISBLANK(F215)=TRUE," ",IF(ISBLANK('様式2'!$C$23)=TRUE," ",'様式2'!$C$23))</f>
        <v> </v>
      </c>
      <c r="B215" s="375" t="e">
        <f>LOOKUP(LOOKUP(C215,'様式3'!$A$5:$A$44,'様式3'!$C$5:$C$44),'産業分類表'!$D$2:$D$68,'産業分類表'!$E$2:$E$68)</f>
        <v>#N/A</v>
      </c>
      <c r="C215" s="343"/>
      <c r="D215" s="343"/>
      <c r="E215" s="343"/>
      <c r="F215" s="343"/>
      <c r="G215" s="341"/>
      <c r="H215" s="349"/>
      <c r="I215" s="343"/>
      <c r="J215" s="343"/>
      <c r="K215" s="342"/>
      <c r="L215" s="350"/>
      <c r="M215" s="351"/>
      <c r="N215" s="343"/>
      <c r="O215" s="354">
        <f t="shared" si="89"/>
      </c>
      <c r="P215" s="354">
        <f t="shared" si="90"/>
      </c>
      <c r="Q215" s="389"/>
      <c r="R215" s="376">
        <f t="shared" si="86"/>
      </c>
      <c r="S215" s="376">
        <f t="shared" si="87"/>
      </c>
      <c r="T215" s="352"/>
      <c r="U215" s="353"/>
      <c r="V215" s="352"/>
      <c r="W215" s="343"/>
      <c r="X215" s="388">
        <f t="shared" si="83"/>
      </c>
      <c r="Y215" s="375" t="e">
        <f t="shared" si="78"/>
        <v>#N/A</v>
      </c>
      <c r="Z215" s="375" t="e">
        <f t="shared" si="79"/>
        <v>#N/A</v>
      </c>
      <c r="AA215" s="375">
        <f t="shared" si="84"/>
      </c>
      <c r="AB215" s="377">
        <f t="shared" si="54"/>
        <v>1</v>
      </c>
      <c r="AC215" s="375" t="str">
        <f t="shared" si="55"/>
        <v> </v>
      </c>
      <c r="AD215" s="375" t="e">
        <f t="shared" si="56"/>
        <v>#N/A</v>
      </c>
      <c r="AE215" s="375" t="str">
        <f t="shared" si="57"/>
        <v> </v>
      </c>
      <c r="AF215" s="375" t="e">
        <f t="shared" si="80"/>
        <v>#N/A</v>
      </c>
      <c r="AG215" s="378" t="str">
        <f t="shared" si="58"/>
        <v> </v>
      </c>
      <c r="AH215" s="379" t="e">
        <f t="shared" si="59"/>
        <v>#VALUE!</v>
      </c>
      <c r="AI215" s="378" t="e">
        <f t="shared" si="77"/>
        <v>#VALUE!</v>
      </c>
      <c r="AJ215" s="375" t="e">
        <f t="shared" si="61"/>
        <v>#N/A</v>
      </c>
      <c r="AK215" s="375" t="e">
        <f>VLOOKUP(AJ215,'排出係数表'!$A$4:$C$202,2,FALSE)</f>
        <v>#N/A</v>
      </c>
      <c r="AL215" s="375" t="e">
        <f t="shared" si="81"/>
        <v>#N/A</v>
      </c>
      <c r="AM215" s="375" t="e">
        <f>VLOOKUP(AJ215,'排出係数表'!$A$4:$C$202,3,FALSE)</f>
        <v>#N/A</v>
      </c>
      <c r="AN215" s="375" t="e">
        <f t="shared" si="82"/>
        <v>#N/A</v>
      </c>
      <c r="AO215" s="375">
        <f t="shared" si="62"/>
      </c>
      <c r="AP215" s="379" t="str">
        <f t="shared" si="63"/>
        <v>-</v>
      </c>
      <c r="AQ215" s="375" t="e">
        <f t="shared" si="88"/>
        <v>#VALUE!</v>
      </c>
      <c r="AR215" s="375">
        <f t="shared" si="85"/>
      </c>
    </row>
    <row r="216" spans="1:44" s="380" customFormat="1" ht="13.5" customHeight="1">
      <c r="A216" s="375" t="str">
        <f>IF(ISBLANK(F216)=TRUE," ",IF(ISBLANK('様式2'!$C$23)=TRUE," ",'様式2'!$C$23))</f>
        <v> </v>
      </c>
      <c r="B216" s="375" t="e">
        <f>LOOKUP(LOOKUP(C216,'様式3'!$A$5:$A$44,'様式3'!$C$5:$C$44),'産業分類表'!$D$2:$D$68,'産業分類表'!$E$2:$E$68)</f>
        <v>#N/A</v>
      </c>
      <c r="C216" s="343"/>
      <c r="D216" s="343"/>
      <c r="E216" s="343"/>
      <c r="F216" s="343"/>
      <c r="G216" s="341"/>
      <c r="H216" s="349"/>
      <c r="I216" s="343"/>
      <c r="J216" s="343"/>
      <c r="K216" s="342"/>
      <c r="L216" s="350"/>
      <c r="M216" s="351"/>
      <c r="N216" s="343"/>
      <c r="O216" s="354">
        <f t="shared" si="89"/>
      </c>
      <c r="P216" s="354">
        <f t="shared" si="90"/>
      </c>
      <c r="Q216" s="389"/>
      <c r="R216" s="376">
        <f t="shared" si="86"/>
      </c>
      <c r="S216" s="376">
        <f t="shared" si="87"/>
      </c>
      <c r="T216" s="352"/>
      <c r="U216" s="353"/>
      <c r="V216" s="352"/>
      <c r="W216" s="343"/>
      <c r="X216" s="388">
        <f t="shared" si="83"/>
      </c>
      <c r="Y216" s="375" t="e">
        <f t="shared" si="78"/>
        <v>#N/A</v>
      </c>
      <c r="Z216" s="375" t="e">
        <f t="shared" si="79"/>
        <v>#N/A</v>
      </c>
      <c r="AA216" s="375">
        <f t="shared" si="84"/>
      </c>
      <c r="AB216" s="377">
        <f t="shared" si="54"/>
        <v>1</v>
      </c>
      <c r="AC216" s="375" t="str">
        <f t="shared" si="55"/>
        <v> </v>
      </c>
      <c r="AD216" s="375" t="e">
        <f t="shared" si="56"/>
        <v>#N/A</v>
      </c>
      <c r="AE216" s="375" t="str">
        <f t="shared" si="57"/>
        <v> </v>
      </c>
      <c r="AF216" s="375" t="e">
        <f t="shared" si="80"/>
        <v>#N/A</v>
      </c>
      <c r="AG216" s="378" t="str">
        <f t="shared" si="58"/>
        <v> </v>
      </c>
      <c r="AH216" s="379" t="e">
        <f t="shared" si="59"/>
        <v>#VALUE!</v>
      </c>
      <c r="AI216" s="378" t="e">
        <f t="shared" si="77"/>
        <v>#VALUE!</v>
      </c>
      <c r="AJ216" s="375" t="e">
        <f t="shared" si="61"/>
        <v>#N/A</v>
      </c>
      <c r="AK216" s="375" t="e">
        <f>VLOOKUP(AJ216,'排出係数表'!$A$4:$C$202,2,FALSE)</f>
        <v>#N/A</v>
      </c>
      <c r="AL216" s="375" t="e">
        <f t="shared" si="81"/>
        <v>#N/A</v>
      </c>
      <c r="AM216" s="375" t="e">
        <f>VLOOKUP(AJ216,'排出係数表'!$A$4:$C$202,3,FALSE)</f>
        <v>#N/A</v>
      </c>
      <c r="AN216" s="375" t="e">
        <f t="shared" si="82"/>
        <v>#N/A</v>
      </c>
      <c r="AO216" s="375">
        <f t="shared" si="62"/>
      </c>
      <c r="AP216" s="379" t="str">
        <f t="shared" si="63"/>
        <v>-</v>
      </c>
      <c r="AQ216" s="375" t="e">
        <f t="shared" si="88"/>
        <v>#VALUE!</v>
      </c>
      <c r="AR216" s="375">
        <f t="shared" si="85"/>
      </c>
    </row>
    <row r="217" spans="1:44" s="380" customFormat="1" ht="13.5" customHeight="1">
      <c r="A217" s="375" t="str">
        <f>IF(ISBLANK(F217)=TRUE," ",IF(ISBLANK('様式2'!$C$23)=TRUE," ",'様式2'!$C$23))</f>
        <v> </v>
      </c>
      <c r="B217" s="375" t="e">
        <f>LOOKUP(LOOKUP(C217,'様式3'!$A$5:$A$44,'様式3'!$C$5:$C$44),'産業分類表'!$D$2:$D$68,'産業分類表'!$E$2:$E$68)</f>
        <v>#N/A</v>
      </c>
      <c r="C217" s="343"/>
      <c r="D217" s="343"/>
      <c r="E217" s="343"/>
      <c r="F217" s="343"/>
      <c r="G217" s="341"/>
      <c r="H217" s="349"/>
      <c r="I217" s="343"/>
      <c r="J217" s="343"/>
      <c r="K217" s="342"/>
      <c r="L217" s="350"/>
      <c r="M217" s="351"/>
      <c r="N217" s="343"/>
      <c r="O217" s="354">
        <f t="shared" si="89"/>
      </c>
      <c r="P217" s="354">
        <f t="shared" si="90"/>
      </c>
      <c r="Q217" s="389"/>
      <c r="R217" s="376">
        <f t="shared" si="86"/>
      </c>
      <c r="S217" s="376">
        <f t="shared" si="87"/>
      </c>
      <c r="T217" s="352"/>
      <c r="U217" s="353"/>
      <c r="V217" s="352"/>
      <c r="W217" s="343"/>
      <c r="X217" s="388">
        <f t="shared" si="83"/>
      </c>
      <c r="Y217" s="375" t="e">
        <f t="shared" si="78"/>
        <v>#N/A</v>
      </c>
      <c r="Z217" s="375" t="e">
        <f t="shared" si="79"/>
        <v>#N/A</v>
      </c>
      <c r="AA217" s="375">
        <f t="shared" si="84"/>
      </c>
      <c r="AB217" s="377">
        <f t="shared" si="54"/>
        <v>1</v>
      </c>
      <c r="AC217" s="375" t="str">
        <f t="shared" si="55"/>
        <v> </v>
      </c>
      <c r="AD217" s="375" t="e">
        <f t="shared" si="56"/>
        <v>#N/A</v>
      </c>
      <c r="AE217" s="375" t="str">
        <f t="shared" si="57"/>
        <v> </v>
      </c>
      <c r="AF217" s="375" t="e">
        <f t="shared" si="80"/>
        <v>#N/A</v>
      </c>
      <c r="AG217" s="378" t="str">
        <f t="shared" si="58"/>
        <v> </v>
      </c>
      <c r="AH217" s="379" t="e">
        <f t="shared" si="59"/>
        <v>#VALUE!</v>
      </c>
      <c r="AI217" s="378" t="e">
        <f t="shared" si="77"/>
        <v>#VALUE!</v>
      </c>
      <c r="AJ217" s="375" t="e">
        <f t="shared" si="61"/>
        <v>#N/A</v>
      </c>
      <c r="AK217" s="375" t="e">
        <f>VLOOKUP(AJ217,'排出係数表'!$A$4:$C$202,2,FALSE)</f>
        <v>#N/A</v>
      </c>
      <c r="AL217" s="375" t="e">
        <f t="shared" si="81"/>
        <v>#N/A</v>
      </c>
      <c r="AM217" s="375" t="e">
        <f>VLOOKUP(AJ217,'排出係数表'!$A$4:$C$202,3,FALSE)</f>
        <v>#N/A</v>
      </c>
      <c r="AN217" s="375" t="e">
        <f t="shared" si="82"/>
        <v>#N/A</v>
      </c>
      <c r="AO217" s="375">
        <f t="shared" si="62"/>
      </c>
      <c r="AP217" s="379" t="str">
        <f t="shared" si="63"/>
        <v>-</v>
      </c>
      <c r="AQ217" s="375" t="e">
        <f t="shared" si="88"/>
        <v>#VALUE!</v>
      </c>
      <c r="AR217" s="375">
        <f t="shared" si="85"/>
      </c>
    </row>
    <row r="218" spans="1:44" s="380" customFormat="1" ht="13.5" customHeight="1">
      <c r="A218" s="375" t="str">
        <f>IF(ISBLANK(F218)=TRUE," ",IF(ISBLANK('様式2'!$C$23)=TRUE," ",'様式2'!$C$23))</f>
        <v> </v>
      </c>
      <c r="B218" s="375" t="e">
        <f>LOOKUP(LOOKUP(C218,'様式3'!$A$5:$A$44,'様式3'!$C$5:$C$44),'産業分類表'!$D$2:$D$68,'産業分類表'!$E$2:$E$68)</f>
        <v>#N/A</v>
      </c>
      <c r="C218" s="343"/>
      <c r="D218" s="343"/>
      <c r="E218" s="343"/>
      <c r="F218" s="343"/>
      <c r="G218" s="341"/>
      <c r="H218" s="349"/>
      <c r="I218" s="343"/>
      <c r="J218" s="343"/>
      <c r="K218" s="342"/>
      <c r="L218" s="350"/>
      <c r="M218" s="351"/>
      <c r="N218" s="343"/>
      <c r="O218" s="354">
        <f t="shared" si="89"/>
      </c>
      <c r="P218" s="354">
        <f t="shared" si="90"/>
      </c>
      <c r="Q218" s="389"/>
      <c r="R218" s="376">
        <f t="shared" si="86"/>
      </c>
      <c r="S218" s="376">
        <f t="shared" si="87"/>
      </c>
      <c r="T218" s="352"/>
      <c r="U218" s="353"/>
      <c r="V218" s="352"/>
      <c r="W218" s="343"/>
      <c r="X218" s="388">
        <f t="shared" si="83"/>
      </c>
      <c r="Y218" s="375" t="e">
        <f t="shared" si="78"/>
        <v>#N/A</v>
      </c>
      <c r="Z218" s="375" t="e">
        <f t="shared" si="79"/>
        <v>#N/A</v>
      </c>
      <c r="AA218" s="375">
        <f t="shared" si="84"/>
      </c>
      <c r="AB218" s="377">
        <f t="shared" si="54"/>
        <v>1</v>
      </c>
      <c r="AC218" s="375" t="str">
        <f t="shared" si="55"/>
        <v> </v>
      </c>
      <c r="AD218" s="375" t="e">
        <f t="shared" si="56"/>
        <v>#N/A</v>
      </c>
      <c r="AE218" s="375" t="str">
        <f t="shared" si="57"/>
        <v> </v>
      </c>
      <c r="AF218" s="375" t="e">
        <f t="shared" si="80"/>
        <v>#N/A</v>
      </c>
      <c r="AG218" s="378" t="str">
        <f t="shared" si="58"/>
        <v> </v>
      </c>
      <c r="AH218" s="379" t="e">
        <f t="shared" si="59"/>
        <v>#VALUE!</v>
      </c>
      <c r="AI218" s="378" t="e">
        <f t="shared" si="77"/>
        <v>#VALUE!</v>
      </c>
      <c r="AJ218" s="375" t="e">
        <f t="shared" si="61"/>
        <v>#N/A</v>
      </c>
      <c r="AK218" s="375" t="e">
        <f>VLOOKUP(AJ218,'排出係数表'!$A$4:$C$202,2,FALSE)</f>
        <v>#N/A</v>
      </c>
      <c r="AL218" s="375" t="e">
        <f t="shared" si="81"/>
        <v>#N/A</v>
      </c>
      <c r="AM218" s="375" t="e">
        <f>VLOOKUP(AJ218,'排出係数表'!$A$4:$C$202,3,FALSE)</f>
        <v>#N/A</v>
      </c>
      <c r="AN218" s="375" t="e">
        <f t="shared" si="82"/>
        <v>#N/A</v>
      </c>
      <c r="AO218" s="375">
        <f t="shared" si="62"/>
      </c>
      <c r="AP218" s="379" t="str">
        <f t="shared" si="63"/>
        <v>-</v>
      </c>
      <c r="AQ218" s="375" t="e">
        <f t="shared" si="88"/>
        <v>#VALUE!</v>
      </c>
      <c r="AR218" s="375">
        <f t="shared" si="85"/>
      </c>
    </row>
    <row r="219" spans="1:44" s="380" customFormat="1" ht="13.5" customHeight="1">
      <c r="A219" s="375" t="str">
        <f>IF(ISBLANK(F219)=TRUE," ",IF(ISBLANK('様式2'!$C$23)=TRUE," ",'様式2'!$C$23))</f>
        <v> </v>
      </c>
      <c r="B219" s="375" t="e">
        <f>LOOKUP(LOOKUP(C219,'様式3'!$A$5:$A$44,'様式3'!$C$5:$C$44),'産業分類表'!$D$2:$D$68,'産業分類表'!$E$2:$E$68)</f>
        <v>#N/A</v>
      </c>
      <c r="C219" s="343"/>
      <c r="D219" s="343"/>
      <c r="E219" s="343"/>
      <c r="F219" s="343"/>
      <c r="G219" s="341"/>
      <c r="H219" s="349"/>
      <c r="I219" s="343"/>
      <c r="J219" s="343"/>
      <c r="K219" s="342"/>
      <c r="L219" s="350"/>
      <c r="M219" s="351"/>
      <c r="N219" s="343"/>
      <c r="O219" s="354">
        <f t="shared" si="89"/>
      </c>
      <c r="P219" s="354">
        <f t="shared" si="90"/>
      </c>
      <c r="Q219" s="389"/>
      <c r="R219" s="376">
        <f t="shared" si="86"/>
      </c>
      <c r="S219" s="376">
        <f t="shared" si="87"/>
      </c>
      <c r="T219" s="352"/>
      <c r="U219" s="353"/>
      <c r="V219" s="352"/>
      <c r="W219" s="343"/>
      <c r="X219" s="388">
        <f t="shared" si="83"/>
      </c>
      <c r="Y219" s="375" t="e">
        <f t="shared" si="78"/>
        <v>#N/A</v>
      </c>
      <c r="Z219" s="375" t="e">
        <f t="shared" si="79"/>
        <v>#N/A</v>
      </c>
      <c r="AA219" s="375">
        <f t="shared" si="84"/>
      </c>
      <c r="AB219" s="377">
        <f t="shared" si="54"/>
        <v>1</v>
      </c>
      <c r="AC219" s="375" t="str">
        <f t="shared" si="55"/>
        <v> </v>
      </c>
      <c r="AD219" s="375" t="e">
        <f t="shared" si="56"/>
        <v>#N/A</v>
      </c>
      <c r="AE219" s="375" t="str">
        <f t="shared" si="57"/>
        <v> </v>
      </c>
      <c r="AF219" s="375" t="e">
        <f t="shared" si="80"/>
        <v>#N/A</v>
      </c>
      <c r="AG219" s="378" t="str">
        <f t="shared" si="58"/>
        <v> </v>
      </c>
      <c r="AH219" s="379" t="e">
        <f t="shared" si="59"/>
        <v>#VALUE!</v>
      </c>
      <c r="AI219" s="378" t="e">
        <f t="shared" si="77"/>
        <v>#VALUE!</v>
      </c>
      <c r="AJ219" s="375" t="e">
        <f t="shared" si="61"/>
        <v>#N/A</v>
      </c>
      <c r="AK219" s="375" t="e">
        <f>VLOOKUP(AJ219,'排出係数表'!$A$4:$C$202,2,FALSE)</f>
        <v>#N/A</v>
      </c>
      <c r="AL219" s="375" t="e">
        <f t="shared" si="81"/>
        <v>#N/A</v>
      </c>
      <c r="AM219" s="375" t="e">
        <f>VLOOKUP(AJ219,'排出係数表'!$A$4:$C$202,3,FALSE)</f>
        <v>#N/A</v>
      </c>
      <c r="AN219" s="375" t="e">
        <f t="shared" si="82"/>
        <v>#N/A</v>
      </c>
      <c r="AO219" s="375">
        <f t="shared" si="62"/>
      </c>
      <c r="AP219" s="379" t="str">
        <f t="shared" si="63"/>
        <v>-</v>
      </c>
      <c r="AQ219" s="375" t="e">
        <f t="shared" si="88"/>
        <v>#VALUE!</v>
      </c>
      <c r="AR219" s="375">
        <f t="shared" si="85"/>
      </c>
    </row>
    <row r="220" spans="1:44" s="380" customFormat="1" ht="13.5" customHeight="1">
      <c r="A220" s="375" t="str">
        <f>IF(ISBLANK(F220)=TRUE," ",IF(ISBLANK('様式2'!$C$23)=TRUE," ",'様式2'!$C$23))</f>
        <v> </v>
      </c>
      <c r="B220" s="375" t="e">
        <f>LOOKUP(LOOKUP(C220,'様式3'!$A$5:$A$44,'様式3'!$C$5:$C$44),'産業分類表'!$D$2:$D$68,'産業分類表'!$E$2:$E$68)</f>
        <v>#N/A</v>
      </c>
      <c r="C220" s="343"/>
      <c r="D220" s="343"/>
      <c r="E220" s="343"/>
      <c r="F220" s="343"/>
      <c r="G220" s="341"/>
      <c r="H220" s="349"/>
      <c r="I220" s="343"/>
      <c r="J220" s="343"/>
      <c r="K220" s="342"/>
      <c r="L220" s="350"/>
      <c r="M220" s="351"/>
      <c r="N220" s="343"/>
      <c r="O220" s="354">
        <f t="shared" si="89"/>
      </c>
      <c r="P220" s="354">
        <f t="shared" si="90"/>
      </c>
      <c r="Q220" s="389"/>
      <c r="R220" s="376">
        <f t="shared" si="86"/>
      </c>
      <c r="S220" s="376">
        <f t="shared" si="87"/>
      </c>
      <c r="T220" s="352"/>
      <c r="U220" s="353"/>
      <c r="V220" s="352"/>
      <c r="W220" s="343"/>
      <c r="X220" s="388">
        <f t="shared" si="83"/>
      </c>
      <c r="Y220" s="375" t="e">
        <f t="shared" si="78"/>
        <v>#N/A</v>
      </c>
      <c r="Z220" s="375" t="e">
        <f t="shared" si="79"/>
        <v>#N/A</v>
      </c>
      <c r="AA220" s="375">
        <f t="shared" si="84"/>
      </c>
      <c r="AB220" s="377">
        <f t="shared" si="54"/>
        <v>1</v>
      </c>
      <c r="AC220" s="375" t="str">
        <f t="shared" si="55"/>
        <v> </v>
      </c>
      <c r="AD220" s="375" t="e">
        <f t="shared" si="56"/>
        <v>#N/A</v>
      </c>
      <c r="AE220" s="375" t="str">
        <f t="shared" si="57"/>
        <v> </v>
      </c>
      <c r="AF220" s="375" t="e">
        <f t="shared" si="80"/>
        <v>#N/A</v>
      </c>
      <c r="AG220" s="378" t="str">
        <f t="shared" si="58"/>
        <v> </v>
      </c>
      <c r="AH220" s="379" t="e">
        <f t="shared" si="59"/>
        <v>#VALUE!</v>
      </c>
      <c r="AI220" s="378" t="e">
        <f t="shared" si="77"/>
        <v>#VALUE!</v>
      </c>
      <c r="AJ220" s="375" t="e">
        <f t="shared" si="61"/>
        <v>#N/A</v>
      </c>
      <c r="AK220" s="375" t="e">
        <f>VLOOKUP(AJ220,'排出係数表'!$A$4:$C$202,2,FALSE)</f>
        <v>#N/A</v>
      </c>
      <c r="AL220" s="375" t="e">
        <f t="shared" si="81"/>
        <v>#N/A</v>
      </c>
      <c r="AM220" s="375" t="e">
        <f>VLOOKUP(AJ220,'排出係数表'!$A$4:$C$202,3,FALSE)</f>
        <v>#N/A</v>
      </c>
      <c r="AN220" s="375" t="e">
        <f t="shared" si="82"/>
        <v>#N/A</v>
      </c>
      <c r="AO220" s="375">
        <f t="shared" si="62"/>
      </c>
      <c r="AP220" s="379" t="str">
        <f t="shared" si="63"/>
        <v>-</v>
      </c>
      <c r="AQ220" s="375" t="e">
        <f t="shared" si="88"/>
        <v>#VALUE!</v>
      </c>
      <c r="AR220" s="375">
        <f t="shared" si="85"/>
      </c>
    </row>
    <row r="221" spans="1:44" s="380" customFormat="1" ht="13.5" customHeight="1">
      <c r="A221" s="375" t="str">
        <f>IF(ISBLANK(F221)=TRUE," ",IF(ISBLANK('様式2'!$C$23)=TRUE," ",'様式2'!$C$23))</f>
        <v> </v>
      </c>
      <c r="B221" s="375" t="e">
        <f>LOOKUP(LOOKUP(C221,'様式3'!$A$5:$A$44,'様式3'!$C$5:$C$44),'産業分類表'!$D$2:$D$68,'産業分類表'!$E$2:$E$68)</f>
        <v>#N/A</v>
      </c>
      <c r="C221" s="343"/>
      <c r="D221" s="343"/>
      <c r="E221" s="343"/>
      <c r="F221" s="343"/>
      <c r="G221" s="341"/>
      <c r="H221" s="349"/>
      <c r="I221" s="343"/>
      <c r="J221" s="343"/>
      <c r="K221" s="342"/>
      <c r="L221" s="350"/>
      <c r="M221" s="351"/>
      <c r="N221" s="343"/>
      <c r="O221" s="354">
        <f t="shared" si="89"/>
      </c>
      <c r="P221" s="354">
        <f t="shared" si="90"/>
      </c>
      <c r="Q221" s="389"/>
      <c r="R221" s="376">
        <f t="shared" si="86"/>
      </c>
      <c r="S221" s="376">
        <f t="shared" si="87"/>
      </c>
      <c r="T221" s="352"/>
      <c r="U221" s="353"/>
      <c r="V221" s="352"/>
      <c r="W221" s="343"/>
      <c r="X221" s="388">
        <f t="shared" si="83"/>
      </c>
      <c r="Y221" s="375" t="e">
        <f t="shared" si="78"/>
        <v>#N/A</v>
      </c>
      <c r="Z221" s="375" t="e">
        <f t="shared" si="79"/>
        <v>#N/A</v>
      </c>
      <c r="AA221" s="375">
        <f t="shared" si="84"/>
      </c>
      <c r="AB221" s="377">
        <f t="shared" si="54"/>
        <v>1</v>
      </c>
      <c r="AC221" s="375" t="str">
        <f t="shared" si="55"/>
        <v> </v>
      </c>
      <c r="AD221" s="375" t="e">
        <f t="shared" si="56"/>
        <v>#N/A</v>
      </c>
      <c r="AE221" s="375" t="str">
        <f t="shared" si="57"/>
        <v> </v>
      </c>
      <c r="AF221" s="375" t="e">
        <f t="shared" si="80"/>
        <v>#N/A</v>
      </c>
      <c r="AG221" s="378" t="str">
        <f t="shared" si="58"/>
        <v> </v>
      </c>
      <c r="AH221" s="379" t="e">
        <f t="shared" si="59"/>
        <v>#VALUE!</v>
      </c>
      <c r="AI221" s="378" t="e">
        <f t="shared" si="77"/>
        <v>#VALUE!</v>
      </c>
      <c r="AJ221" s="375" t="e">
        <f t="shared" si="61"/>
        <v>#N/A</v>
      </c>
      <c r="AK221" s="375" t="e">
        <f>VLOOKUP(AJ221,'排出係数表'!$A$4:$C$202,2,FALSE)</f>
        <v>#N/A</v>
      </c>
      <c r="AL221" s="375" t="e">
        <f t="shared" si="81"/>
        <v>#N/A</v>
      </c>
      <c r="AM221" s="375" t="e">
        <f>VLOOKUP(AJ221,'排出係数表'!$A$4:$C$202,3,FALSE)</f>
        <v>#N/A</v>
      </c>
      <c r="AN221" s="375" t="e">
        <f t="shared" si="82"/>
        <v>#N/A</v>
      </c>
      <c r="AO221" s="375">
        <f t="shared" si="62"/>
      </c>
      <c r="AP221" s="379" t="str">
        <f t="shared" si="63"/>
        <v>-</v>
      </c>
      <c r="AQ221" s="375" t="e">
        <f t="shared" si="88"/>
        <v>#VALUE!</v>
      </c>
      <c r="AR221" s="375">
        <f t="shared" si="85"/>
      </c>
    </row>
    <row r="222" spans="1:44" s="380" customFormat="1" ht="13.5" customHeight="1">
      <c r="A222" s="375" t="str">
        <f>IF(ISBLANK(F222)=TRUE," ",IF(ISBLANK('様式2'!$C$23)=TRUE," ",'様式2'!$C$23))</f>
        <v> </v>
      </c>
      <c r="B222" s="375" t="e">
        <f>LOOKUP(LOOKUP(C222,'様式3'!$A$5:$A$44,'様式3'!$C$5:$C$44),'産業分類表'!$D$2:$D$68,'産業分類表'!$E$2:$E$68)</f>
        <v>#N/A</v>
      </c>
      <c r="C222" s="343"/>
      <c r="D222" s="343"/>
      <c r="E222" s="343"/>
      <c r="F222" s="343"/>
      <c r="G222" s="341"/>
      <c r="H222" s="349"/>
      <c r="I222" s="343"/>
      <c r="J222" s="343"/>
      <c r="K222" s="342"/>
      <c r="L222" s="350"/>
      <c r="M222" s="351"/>
      <c r="N222" s="343"/>
      <c r="O222" s="354">
        <f t="shared" si="89"/>
      </c>
      <c r="P222" s="354">
        <f t="shared" si="90"/>
      </c>
      <c r="Q222" s="389"/>
      <c r="R222" s="376">
        <f t="shared" si="86"/>
      </c>
      <c r="S222" s="376">
        <f t="shared" si="87"/>
      </c>
      <c r="T222" s="352"/>
      <c r="U222" s="353"/>
      <c r="V222" s="352"/>
      <c r="W222" s="343"/>
      <c r="X222" s="388">
        <f t="shared" si="83"/>
      </c>
      <c r="Y222" s="375" t="e">
        <f t="shared" si="78"/>
        <v>#N/A</v>
      </c>
      <c r="Z222" s="375" t="e">
        <f t="shared" si="79"/>
        <v>#N/A</v>
      </c>
      <c r="AA222" s="375">
        <f t="shared" si="84"/>
      </c>
      <c r="AB222" s="377">
        <f t="shared" si="54"/>
        <v>1</v>
      </c>
      <c r="AC222" s="375" t="str">
        <f t="shared" si="55"/>
        <v> </v>
      </c>
      <c r="AD222" s="375" t="e">
        <f t="shared" si="56"/>
        <v>#N/A</v>
      </c>
      <c r="AE222" s="375" t="str">
        <f t="shared" si="57"/>
        <v> </v>
      </c>
      <c r="AF222" s="375" t="e">
        <f t="shared" si="80"/>
        <v>#N/A</v>
      </c>
      <c r="AG222" s="378" t="str">
        <f t="shared" si="58"/>
        <v> </v>
      </c>
      <c r="AH222" s="379" t="e">
        <f t="shared" si="59"/>
        <v>#VALUE!</v>
      </c>
      <c r="AI222" s="378" t="e">
        <f t="shared" si="77"/>
        <v>#VALUE!</v>
      </c>
      <c r="AJ222" s="375" t="e">
        <f t="shared" si="61"/>
        <v>#N/A</v>
      </c>
      <c r="AK222" s="375" t="e">
        <f>VLOOKUP(AJ222,'排出係数表'!$A$4:$C$202,2,FALSE)</f>
        <v>#N/A</v>
      </c>
      <c r="AL222" s="375" t="e">
        <f t="shared" si="81"/>
        <v>#N/A</v>
      </c>
      <c r="AM222" s="375" t="e">
        <f>VLOOKUP(AJ222,'排出係数表'!$A$4:$C$202,3,FALSE)</f>
        <v>#N/A</v>
      </c>
      <c r="AN222" s="375" t="e">
        <f t="shared" si="82"/>
        <v>#N/A</v>
      </c>
      <c r="AO222" s="375">
        <f t="shared" si="62"/>
      </c>
      <c r="AP222" s="379" t="str">
        <f t="shared" si="63"/>
        <v>-</v>
      </c>
      <c r="AQ222" s="375" t="e">
        <f t="shared" si="88"/>
        <v>#VALUE!</v>
      </c>
      <c r="AR222" s="375">
        <f t="shared" si="85"/>
      </c>
    </row>
    <row r="223" spans="1:44" s="380" customFormat="1" ht="13.5" customHeight="1">
      <c r="A223" s="375" t="str">
        <f>IF(ISBLANK(F223)=TRUE," ",IF(ISBLANK('様式2'!$C$23)=TRUE," ",'様式2'!$C$23))</f>
        <v> </v>
      </c>
      <c r="B223" s="375" t="e">
        <f>LOOKUP(LOOKUP(C223,'様式3'!$A$5:$A$44,'様式3'!$C$5:$C$44),'産業分類表'!$D$2:$D$68,'産業分類表'!$E$2:$E$68)</f>
        <v>#N/A</v>
      </c>
      <c r="C223" s="343"/>
      <c r="D223" s="343"/>
      <c r="E223" s="343"/>
      <c r="F223" s="343"/>
      <c r="G223" s="341"/>
      <c r="H223" s="349"/>
      <c r="I223" s="343"/>
      <c r="J223" s="343"/>
      <c r="K223" s="342"/>
      <c r="L223" s="350"/>
      <c r="M223" s="351"/>
      <c r="N223" s="343"/>
      <c r="O223" s="354">
        <f t="shared" si="89"/>
      </c>
      <c r="P223" s="354">
        <f t="shared" si="90"/>
      </c>
      <c r="Q223" s="389"/>
      <c r="R223" s="376">
        <f t="shared" si="86"/>
      </c>
      <c r="S223" s="376">
        <f t="shared" si="87"/>
      </c>
      <c r="T223" s="352"/>
      <c r="U223" s="353"/>
      <c r="V223" s="352"/>
      <c r="W223" s="343"/>
      <c r="X223" s="388">
        <f t="shared" si="83"/>
      </c>
      <c r="Y223" s="375" t="e">
        <f t="shared" si="78"/>
        <v>#N/A</v>
      </c>
      <c r="Z223" s="375" t="e">
        <f t="shared" si="79"/>
        <v>#N/A</v>
      </c>
      <c r="AA223" s="375">
        <f t="shared" si="84"/>
      </c>
      <c r="AB223" s="377">
        <f t="shared" si="54"/>
        <v>1</v>
      </c>
      <c r="AC223" s="375" t="str">
        <f t="shared" si="55"/>
        <v> </v>
      </c>
      <c r="AD223" s="375" t="e">
        <f t="shared" si="56"/>
        <v>#N/A</v>
      </c>
      <c r="AE223" s="375" t="str">
        <f t="shared" si="57"/>
        <v> </v>
      </c>
      <c r="AF223" s="375" t="e">
        <f t="shared" si="80"/>
        <v>#N/A</v>
      </c>
      <c r="AG223" s="378" t="str">
        <f t="shared" si="58"/>
        <v> </v>
      </c>
      <c r="AH223" s="379" t="e">
        <f t="shared" si="59"/>
        <v>#VALUE!</v>
      </c>
      <c r="AI223" s="378" t="e">
        <f t="shared" si="77"/>
        <v>#VALUE!</v>
      </c>
      <c r="AJ223" s="375" t="e">
        <f t="shared" si="61"/>
        <v>#N/A</v>
      </c>
      <c r="AK223" s="375" t="e">
        <f>VLOOKUP(AJ223,'排出係数表'!$A$4:$C$202,2,FALSE)</f>
        <v>#N/A</v>
      </c>
      <c r="AL223" s="375" t="e">
        <f t="shared" si="81"/>
        <v>#N/A</v>
      </c>
      <c r="AM223" s="375" t="e">
        <f>VLOOKUP(AJ223,'排出係数表'!$A$4:$C$202,3,FALSE)</f>
        <v>#N/A</v>
      </c>
      <c r="AN223" s="375" t="e">
        <f t="shared" si="82"/>
        <v>#N/A</v>
      </c>
      <c r="AO223" s="375">
        <f t="shared" si="62"/>
      </c>
      <c r="AP223" s="379" t="str">
        <f t="shared" si="63"/>
        <v>-</v>
      </c>
      <c r="AQ223" s="375" t="e">
        <f t="shared" si="88"/>
        <v>#VALUE!</v>
      </c>
      <c r="AR223" s="375">
        <f t="shared" si="85"/>
      </c>
    </row>
    <row r="224" spans="1:44" s="380" customFormat="1" ht="13.5" customHeight="1">
      <c r="A224" s="375" t="str">
        <f>IF(ISBLANK(F224)=TRUE," ",IF(ISBLANK('様式2'!$C$23)=TRUE," ",'様式2'!$C$23))</f>
        <v> </v>
      </c>
      <c r="B224" s="375" t="e">
        <f>LOOKUP(LOOKUP(C224,'様式3'!$A$5:$A$44,'様式3'!$C$5:$C$44),'産業分類表'!$D$2:$D$68,'産業分類表'!$E$2:$E$68)</f>
        <v>#N/A</v>
      </c>
      <c r="C224" s="343"/>
      <c r="D224" s="343"/>
      <c r="E224" s="343"/>
      <c r="F224" s="343"/>
      <c r="G224" s="341"/>
      <c r="H224" s="349"/>
      <c r="I224" s="343"/>
      <c r="J224" s="343"/>
      <c r="K224" s="342"/>
      <c r="L224" s="350"/>
      <c r="M224" s="351"/>
      <c r="N224" s="343"/>
      <c r="O224" s="354">
        <f t="shared" si="89"/>
      </c>
      <c r="P224" s="354">
        <f t="shared" si="90"/>
      </c>
      <c r="Q224" s="389"/>
      <c r="R224" s="376">
        <f t="shared" si="86"/>
      </c>
      <c r="S224" s="376">
        <f t="shared" si="87"/>
      </c>
      <c r="T224" s="352"/>
      <c r="U224" s="353"/>
      <c r="V224" s="352"/>
      <c r="W224" s="343"/>
      <c r="X224" s="388">
        <f t="shared" si="83"/>
      </c>
      <c r="Y224" s="375" t="e">
        <f t="shared" si="78"/>
        <v>#N/A</v>
      </c>
      <c r="Z224" s="375" t="e">
        <f t="shared" si="79"/>
        <v>#N/A</v>
      </c>
      <c r="AA224" s="375">
        <f t="shared" si="84"/>
      </c>
      <c r="AB224" s="377">
        <f t="shared" si="54"/>
        <v>1</v>
      </c>
      <c r="AC224" s="375" t="str">
        <f t="shared" si="55"/>
        <v> </v>
      </c>
      <c r="AD224" s="375" t="e">
        <f t="shared" si="56"/>
        <v>#N/A</v>
      </c>
      <c r="AE224" s="375" t="str">
        <f t="shared" si="57"/>
        <v> </v>
      </c>
      <c r="AF224" s="375" t="e">
        <f t="shared" si="80"/>
        <v>#N/A</v>
      </c>
      <c r="AG224" s="378" t="str">
        <f t="shared" si="58"/>
        <v> </v>
      </c>
      <c r="AH224" s="379" t="e">
        <f t="shared" si="59"/>
        <v>#VALUE!</v>
      </c>
      <c r="AI224" s="378" t="e">
        <f t="shared" si="77"/>
        <v>#VALUE!</v>
      </c>
      <c r="AJ224" s="375" t="e">
        <f t="shared" si="61"/>
        <v>#N/A</v>
      </c>
      <c r="AK224" s="375" t="e">
        <f>VLOOKUP(AJ224,'排出係数表'!$A$4:$C$202,2,FALSE)</f>
        <v>#N/A</v>
      </c>
      <c r="AL224" s="375" t="e">
        <f t="shared" si="81"/>
        <v>#N/A</v>
      </c>
      <c r="AM224" s="375" t="e">
        <f>VLOOKUP(AJ224,'排出係数表'!$A$4:$C$202,3,FALSE)</f>
        <v>#N/A</v>
      </c>
      <c r="AN224" s="375" t="e">
        <f t="shared" si="82"/>
        <v>#N/A</v>
      </c>
      <c r="AO224" s="375">
        <f t="shared" si="62"/>
      </c>
      <c r="AP224" s="379" t="str">
        <f t="shared" si="63"/>
        <v>-</v>
      </c>
      <c r="AQ224" s="375" t="e">
        <f t="shared" si="88"/>
        <v>#VALUE!</v>
      </c>
      <c r="AR224" s="375">
        <f t="shared" si="85"/>
      </c>
    </row>
    <row r="225" spans="1:44" s="380" customFormat="1" ht="13.5" customHeight="1">
      <c r="A225" s="375" t="str">
        <f>IF(ISBLANK(F225)=TRUE," ",IF(ISBLANK('様式2'!$C$23)=TRUE," ",'様式2'!$C$23))</f>
        <v> </v>
      </c>
      <c r="B225" s="375" t="e">
        <f>LOOKUP(LOOKUP(C225,'様式3'!$A$5:$A$44,'様式3'!$C$5:$C$44),'産業分類表'!$D$2:$D$68,'産業分類表'!$E$2:$E$68)</f>
        <v>#N/A</v>
      </c>
      <c r="C225" s="343"/>
      <c r="D225" s="343"/>
      <c r="E225" s="343"/>
      <c r="F225" s="343"/>
      <c r="G225" s="341"/>
      <c r="H225" s="349"/>
      <c r="I225" s="343"/>
      <c r="J225" s="343"/>
      <c r="K225" s="342"/>
      <c r="L225" s="350"/>
      <c r="M225" s="351"/>
      <c r="N225" s="343"/>
      <c r="O225" s="354">
        <f t="shared" si="89"/>
      </c>
      <c r="P225" s="354">
        <f t="shared" si="90"/>
      </c>
      <c r="Q225" s="389"/>
      <c r="R225" s="376">
        <f t="shared" si="86"/>
      </c>
      <c r="S225" s="376">
        <f t="shared" si="87"/>
      </c>
      <c r="T225" s="352"/>
      <c r="U225" s="353"/>
      <c r="V225" s="352"/>
      <c r="W225" s="343"/>
      <c r="X225" s="388">
        <f t="shared" si="83"/>
      </c>
      <c r="Y225" s="375" t="e">
        <f t="shared" si="78"/>
        <v>#N/A</v>
      </c>
      <c r="Z225" s="375" t="e">
        <f t="shared" si="79"/>
        <v>#N/A</v>
      </c>
      <c r="AA225" s="375">
        <f t="shared" si="84"/>
      </c>
      <c r="AB225" s="377">
        <f t="shared" si="54"/>
        <v>1</v>
      </c>
      <c r="AC225" s="375" t="str">
        <f t="shared" si="55"/>
        <v> </v>
      </c>
      <c r="AD225" s="375" t="e">
        <f t="shared" si="56"/>
        <v>#N/A</v>
      </c>
      <c r="AE225" s="375" t="str">
        <f t="shared" si="57"/>
        <v> </v>
      </c>
      <c r="AF225" s="375" t="e">
        <f t="shared" si="80"/>
        <v>#N/A</v>
      </c>
      <c r="AG225" s="378" t="str">
        <f t="shared" si="58"/>
        <v> </v>
      </c>
      <c r="AH225" s="379" t="e">
        <f t="shared" si="59"/>
        <v>#VALUE!</v>
      </c>
      <c r="AI225" s="378" t="e">
        <f t="shared" si="77"/>
        <v>#VALUE!</v>
      </c>
      <c r="AJ225" s="375" t="e">
        <f t="shared" si="61"/>
        <v>#N/A</v>
      </c>
      <c r="AK225" s="375" t="e">
        <f>VLOOKUP(AJ225,'排出係数表'!$A$4:$C$202,2,FALSE)</f>
        <v>#N/A</v>
      </c>
      <c r="AL225" s="375" t="e">
        <f t="shared" si="81"/>
        <v>#N/A</v>
      </c>
      <c r="AM225" s="375" t="e">
        <f>VLOOKUP(AJ225,'排出係数表'!$A$4:$C$202,3,FALSE)</f>
        <v>#N/A</v>
      </c>
      <c r="AN225" s="375" t="e">
        <f t="shared" si="82"/>
        <v>#N/A</v>
      </c>
      <c r="AO225" s="375">
        <f t="shared" si="62"/>
      </c>
      <c r="AP225" s="379" t="str">
        <f t="shared" si="63"/>
        <v>-</v>
      </c>
      <c r="AQ225" s="375" t="e">
        <f t="shared" si="88"/>
        <v>#VALUE!</v>
      </c>
      <c r="AR225" s="375">
        <f t="shared" si="85"/>
      </c>
    </row>
    <row r="226" spans="1:44" s="380" customFormat="1" ht="13.5" customHeight="1">
      <c r="A226" s="375" t="str">
        <f>IF(ISBLANK(F226)=TRUE," ",IF(ISBLANK('様式2'!$C$23)=TRUE," ",'様式2'!$C$23))</f>
        <v> </v>
      </c>
      <c r="B226" s="375" t="e">
        <f>LOOKUP(LOOKUP(C226,'様式3'!$A$5:$A$44,'様式3'!$C$5:$C$44),'産業分類表'!$D$2:$D$68,'産業分類表'!$E$2:$E$68)</f>
        <v>#N/A</v>
      </c>
      <c r="C226" s="343"/>
      <c r="D226" s="343"/>
      <c r="E226" s="343"/>
      <c r="F226" s="343"/>
      <c r="G226" s="341"/>
      <c r="H226" s="349"/>
      <c r="I226" s="343"/>
      <c r="J226" s="343"/>
      <c r="K226" s="342"/>
      <c r="L226" s="350"/>
      <c r="M226" s="351"/>
      <c r="N226" s="343"/>
      <c r="O226" s="354">
        <f t="shared" si="89"/>
      </c>
      <c r="P226" s="354">
        <f t="shared" si="90"/>
      </c>
      <c r="Q226" s="389"/>
      <c r="R226" s="376">
        <f t="shared" si="86"/>
      </c>
      <c r="S226" s="376">
        <f t="shared" si="87"/>
      </c>
      <c r="T226" s="352"/>
      <c r="U226" s="353"/>
      <c r="V226" s="352"/>
      <c r="W226" s="343"/>
      <c r="X226" s="388">
        <f t="shared" si="83"/>
      </c>
      <c r="Y226" s="375" t="e">
        <f t="shared" si="78"/>
        <v>#N/A</v>
      </c>
      <c r="Z226" s="375" t="e">
        <f t="shared" si="79"/>
        <v>#N/A</v>
      </c>
      <c r="AA226" s="375">
        <f t="shared" si="84"/>
      </c>
      <c r="AB226" s="377">
        <f t="shared" si="54"/>
        <v>1</v>
      </c>
      <c r="AC226" s="375" t="str">
        <f t="shared" si="55"/>
        <v> </v>
      </c>
      <c r="AD226" s="375" t="e">
        <f t="shared" si="56"/>
        <v>#N/A</v>
      </c>
      <c r="AE226" s="375" t="str">
        <f t="shared" si="57"/>
        <v> </v>
      </c>
      <c r="AF226" s="375" t="e">
        <f t="shared" si="80"/>
        <v>#N/A</v>
      </c>
      <c r="AG226" s="378" t="str">
        <f t="shared" si="58"/>
        <v> </v>
      </c>
      <c r="AH226" s="379" t="e">
        <f t="shared" si="59"/>
        <v>#VALUE!</v>
      </c>
      <c r="AI226" s="378" t="e">
        <f t="shared" si="77"/>
        <v>#VALUE!</v>
      </c>
      <c r="AJ226" s="375" t="e">
        <f t="shared" si="61"/>
        <v>#N/A</v>
      </c>
      <c r="AK226" s="375" t="e">
        <f>VLOOKUP(AJ226,'排出係数表'!$A$4:$C$202,2,FALSE)</f>
        <v>#N/A</v>
      </c>
      <c r="AL226" s="375" t="e">
        <f t="shared" si="81"/>
        <v>#N/A</v>
      </c>
      <c r="AM226" s="375" t="e">
        <f>VLOOKUP(AJ226,'排出係数表'!$A$4:$C$202,3,FALSE)</f>
        <v>#N/A</v>
      </c>
      <c r="AN226" s="375" t="e">
        <f t="shared" si="82"/>
        <v>#N/A</v>
      </c>
      <c r="AO226" s="375">
        <f t="shared" si="62"/>
      </c>
      <c r="AP226" s="379" t="str">
        <f t="shared" si="63"/>
        <v>-</v>
      </c>
      <c r="AQ226" s="375" t="e">
        <f t="shared" si="88"/>
        <v>#VALUE!</v>
      </c>
      <c r="AR226" s="375">
        <f t="shared" si="85"/>
      </c>
    </row>
    <row r="227" spans="1:44" s="380" customFormat="1" ht="13.5" customHeight="1">
      <c r="A227" s="375" t="str">
        <f>IF(ISBLANK(F227)=TRUE," ",IF(ISBLANK('様式2'!$C$23)=TRUE," ",'様式2'!$C$23))</f>
        <v> </v>
      </c>
      <c r="B227" s="375" t="e">
        <f>LOOKUP(LOOKUP(C227,'様式3'!$A$5:$A$44,'様式3'!$C$5:$C$44),'産業分類表'!$D$2:$D$68,'産業分類表'!$E$2:$E$68)</f>
        <v>#N/A</v>
      </c>
      <c r="C227" s="343"/>
      <c r="D227" s="343"/>
      <c r="E227" s="343"/>
      <c r="F227" s="343"/>
      <c r="G227" s="341"/>
      <c r="H227" s="349"/>
      <c r="I227" s="343"/>
      <c r="J227" s="343"/>
      <c r="K227" s="342"/>
      <c r="L227" s="350"/>
      <c r="M227" s="351"/>
      <c r="N227" s="343"/>
      <c r="O227" s="354">
        <f t="shared" si="89"/>
      </c>
      <c r="P227" s="354">
        <f t="shared" si="90"/>
      </c>
      <c r="Q227" s="389"/>
      <c r="R227" s="376">
        <f t="shared" si="86"/>
      </c>
      <c r="S227" s="376">
        <f t="shared" si="87"/>
      </c>
      <c r="T227" s="352"/>
      <c r="U227" s="353"/>
      <c r="V227" s="352"/>
      <c r="W227" s="343"/>
      <c r="X227" s="388">
        <f t="shared" si="83"/>
      </c>
      <c r="Y227" s="375" t="e">
        <f t="shared" si="78"/>
        <v>#N/A</v>
      </c>
      <c r="Z227" s="375" t="e">
        <f t="shared" si="79"/>
        <v>#N/A</v>
      </c>
      <c r="AA227" s="375">
        <f t="shared" si="84"/>
      </c>
      <c r="AB227" s="377">
        <f t="shared" si="54"/>
        <v>1</v>
      </c>
      <c r="AC227" s="375" t="str">
        <f t="shared" si="55"/>
        <v> </v>
      </c>
      <c r="AD227" s="375" t="e">
        <f t="shared" si="56"/>
        <v>#N/A</v>
      </c>
      <c r="AE227" s="375" t="str">
        <f t="shared" si="57"/>
        <v> </v>
      </c>
      <c r="AF227" s="375" t="e">
        <f t="shared" si="80"/>
        <v>#N/A</v>
      </c>
      <c r="AG227" s="378" t="str">
        <f t="shared" si="58"/>
        <v> </v>
      </c>
      <c r="AH227" s="379" t="e">
        <f t="shared" si="59"/>
        <v>#VALUE!</v>
      </c>
      <c r="AI227" s="378" t="e">
        <f t="shared" si="77"/>
        <v>#VALUE!</v>
      </c>
      <c r="AJ227" s="375" t="e">
        <f t="shared" si="61"/>
        <v>#N/A</v>
      </c>
      <c r="AK227" s="375" t="e">
        <f>VLOOKUP(AJ227,'排出係数表'!$A$4:$C$202,2,FALSE)</f>
        <v>#N/A</v>
      </c>
      <c r="AL227" s="375" t="e">
        <f t="shared" si="81"/>
        <v>#N/A</v>
      </c>
      <c r="AM227" s="375" t="e">
        <f>VLOOKUP(AJ227,'排出係数表'!$A$4:$C$202,3,FALSE)</f>
        <v>#N/A</v>
      </c>
      <c r="AN227" s="375" t="e">
        <f t="shared" si="82"/>
        <v>#N/A</v>
      </c>
      <c r="AO227" s="375">
        <f t="shared" si="62"/>
      </c>
      <c r="AP227" s="379" t="str">
        <f t="shared" si="63"/>
        <v>-</v>
      </c>
      <c r="AQ227" s="375" t="e">
        <f t="shared" si="88"/>
        <v>#VALUE!</v>
      </c>
      <c r="AR227" s="375">
        <f t="shared" si="85"/>
      </c>
    </row>
    <row r="228" spans="1:44" s="380" customFormat="1" ht="13.5" customHeight="1">
      <c r="A228" s="375" t="str">
        <f>IF(ISBLANK(F228)=TRUE," ",IF(ISBLANK('様式2'!$C$23)=TRUE," ",'様式2'!$C$23))</f>
        <v> </v>
      </c>
      <c r="B228" s="375" t="e">
        <f>LOOKUP(LOOKUP(C228,'様式3'!$A$5:$A$44,'様式3'!$C$5:$C$44),'産業分類表'!$D$2:$D$68,'産業分類表'!$E$2:$E$68)</f>
        <v>#N/A</v>
      </c>
      <c r="C228" s="343"/>
      <c r="D228" s="343"/>
      <c r="E228" s="343"/>
      <c r="F228" s="343"/>
      <c r="G228" s="341"/>
      <c r="H228" s="349"/>
      <c r="I228" s="343"/>
      <c r="J228" s="343"/>
      <c r="K228" s="342"/>
      <c r="L228" s="350"/>
      <c r="M228" s="351"/>
      <c r="N228" s="343"/>
      <c r="O228" s="354">
        <f t="shared" si="89"/>
      </c>
      <c r="P228" s="354">
        <f t="shared" si="90"/>
      </c>
      <c r="Q228" s="389"/>
      <c r="R228" s="376">
        <f t="shared" si="86"/>
      </c>
      <c r="S228" s="376">
        <f t="shared" si="87"/>
      </c>
      <c r="T228" s="352"/>
      <c r="U228" s="353"/>
      <c r="V228" s="352"/>
      <c r="W228" s="343"/>
      <c r="X228" s="388">
        <f t="shared" si="83"/>
      </c>
      <c r="Y228" s="375" t="e">
        <f t="shared" si="78"/>
        <v>#N/A</v>
      </c>
      <c r="Z228" s="375" t="e">
        <f t="shared" si="79"/>
        <v>#N/A</v>
      </c>
      <c r="AA228" s="375">
        <f t="shared" si="84"/>
      </c>
      <c r="AB228" s="377">
        <f t="shared" si="54"/>
        <v>1</v>
      </c>
      <c r="AC228" s="375" t="str">
        <f t="shared" si="55"/>
        <v> </v>
      </c>
      <c r="AD228" s="375" t="e">
        <f t="shared" si="56"/>
        <v>#N/A</v>
      </c>
      <c r="AE228" s="375" t="str">
        <f t="shared" si="57"/>
        <v> </v>
      </c>
      <c r="AF228" s="375" t="e">
        <f t="shared" si="80"/>
        <v>#N/A</v>
      </c>
      <c r="AG228" s="378" t="str">
        <f t="shared" si="58"/>
        <v> </v>
      </c>
      <c r="AH228" s="379" t="e">
        <f t="shared" si="59"/>
        <v>#VALUE!</v>
      </c>
      <c r="AI228" s="378" t="e">
        <f t="shared" si="77"/>
        <v>#VALUE!</v>
      </c>
      <c r="AJ228" s="375" t="e">
        <f t="shared" si="61"/>
        <v>#N/A</v>
      </c>
      <c r="AK228" s="375" t="e">
        <f>VLOOKUP(AJ228,'排出係数表'!$A$4:$C$202,2,FALSE)</f>
        <v>#N/A</v>
      </c>
      <c r="AL228" s="375" t="e">
        <f t="shared" si="81"/>
        <v>#N/A</v>
      </c>
      <c r="AM228" s="375" t="e">
        <f>VLOOKUP(AJ228,'排出係数表'!$A$4:$C$202,3,FALSE)</f>
        <v>#N/A</v>
      </c>
      <c r="AN228" s="375" t="e">
        <f t="shared" si="82"/>
        <v>#N/A</v>
      </c>
      <c r="AO228" s="375">
        <f t="shared" si="62"/>
      </c>
      <c r="AP228" s="379" t="str">
        <f t="shared" si="63"/>
        <v>-</v>
      </c>
      <c r="AQ228" s="375" t="e">
        <f t="shared" si="88"/>
        <v>#VALUE!</v>
      </c>
      <c r="AR228" s="375">
        <f t="shared" si="85"/>
      </c>
    </row>
    <row r="229" spans="1:44" s="380" customFormat="1" ht="13.5" customHeight="1">
      <c r="A229" s="375" t="str">
        <f>IF(ISBLANK(F229)=TRUE," ",IF(ISBLANK('様式2'!$C$23)=TRUE," ",'様式2'!$C$23))</f>
        <v> </v>
      </c>
      <c r="B229" s="375" t="e">
        <f>LOOKUP(LOOKUP(C229,'様式3'!$A$5:$A$44,'様式3'!$C$5:$C$44),'産業分類表'!$D$2:$D$68,'産業分類表'!$E$2:$E$68)</f>
        <v>#N/A</v>
      </c>
      <c r="C229" s="343"/>
      <c r="D229" s="343"/>
      <c r="E229" s="343"/>
      <c r="F229" s="343"/>
      <c r="G229" s="341"/>
      <c r="H229" s="349"/>
      <c r="I229" s="343"/>
      <c r="J229" s="343"/>
      <c r="K229" s="342"/>
      <c r="L229" s="350"/>
      <c r="M229" s="351"/>
      <c r="N229" s="343"/>
      <c r="O229" s="354">
        <f t="shared" si="89"/>
      </c>
      <c r="P229" s="354">
        <f t="shared" si="90"/>
      </c>
      <c r="Q229" s="389"/>
      <c r="R229" s="376">
        <f t="shared" si="86"/>
      </c>
      <c r="S229" s="376">
        <f t="shared" si="87"/>
      </c>
      <c r="T229" s="352"/>
      <c r="U229" s="353"/>
      <c r="V229" s="352"/>
      <c r="W229" s="343"/>
      <c r="X229" s="388">
        <f t="shared" si="83"/>
      </c>
      <c r="Y229" s="375" t="e">
        <f t="shared" si="78"/>
        <v>#N/A</v>
      </c>
      <c r="Z229" s="375" t="e">
        <f t="shared" si="79"/>
        <v>#N/A</v>
      </c>
      <c r="AA229" s="375">
        <f t="shared" si="84"/>
      </c>
      <c r="AB229" s="377">
        <f t="shared" si="54"/>
        <v>1</v>
      </c>
      <c r="AC229" s="375" t="str">
        <f t="shared" si="55"/>
        <v> </v>
      </c>
      <c r="AD229" s="375" t="e">
        <f t="shared" si="56"/>
        <v>#N/A</v>
      </c>
      <c r="AE229" s="375" t="str">
        <f t="shared" si="57"/>
        <v> </v>
      </c>
      <c r="AF229" s="375" t="e">
        <f t="shared" si="80"/>
        <v>#N/A</v>
      </c>
      <c r="AG229" s="378" t="str">
        <f t="shared" si="58"/>
        <v> </v>
      </c>
      <c r="AH229" s="379" t="e">
        <f t="shared" si="59"/>
        <v>#VALUE!</v>
      </c>
      <c r="AI229" s="378" t="e">
        <f t="shared" si="77"/>
        <v>#VALUE!</v>
      </c>
      <c r="AJ229" s="375" t="e">
        <f t="shared" si="61"/>
        <v>#N/A</v>
      </c>
      <c r="AK229" s="375" t="e">
        <f>VLOOKUP(AJ229,'排出係数表'!$A$4:$C$202,2,FALSE)</f>
        <v>#N/A</v>
      </c>
      <c r="AL229" s="375" t="e">
        <f t="shared" si="81"/>
        <v>#N/A</v>
      </c>
      <c r="AM229" s="375" t="e">
        <f>VLOOKUP(AJ229,'排出係数表'!$A$4:$C$202,3,FALSE)</f>
        <v>#N/A</v>
      </c>
      <c r="AN229" s="375" t="e">
        <f t="shared" si="82"/>
        <v>#N/A</v>
      </c>
      <c r="AO229" s="375">
        <f t="shared" si="62"/>
      </c>
      <c r="AP229" s="379" t="str">
        <f t="shared" si="63"/>
        <v>-</v>
      </c>
      <c r="AQ229" s="375" t="e">
        <f t="shared" si="88"/>
        <v>#VALUE!</v>
      </c>
      <c r="AR229" s="375">
        <f t="shared" si="85"/>
      </c>
    </row>
    <row r="230" spans="1:44" s="380" customFormat="1" ht="13.5" customHeight="1">
      <c r="A230" s="375" t="str">
        <f>IF(ISBLANK(F230)=TRUE," ",IF(ISBLANK('様式2'!$C$23)=TRUE," ",'様式2'!$C$23))</f>
        <v> </v>
      </c>
      <c r="B230" s="375" t="e">
        <f>LOOKUP(LOOKUP(C230,'様式3'!$A$5:$A$44,'様式3'!$C$5:$C$44),'産業分類表'!$D$2:$D$68,'産業分類表'!$E$2:$E$68)</f>
        <v>#N/A</v>
      </c>
      <c r="C230" s="343"/>
      <c r="D230" s="343"/>
      <c r="E230" s="343"/>
      <c r="F230" s="343"/>
      <c r="G230" s="341"/>
      <c r="H230" s="349"/>
      <c r="I230" s="343"/>
      <c r="J230" s="343"/>
      <c r="K230" s="342"/>
      <c r="L230" s="350"/>
      <c r="M230" s="351"/>
      <c r="N230" s="343"/>
      <c r="O230" s="354">
        <f t="shared" si="89"/>
      </c>
      <c r="P230" s="354">
        <f t="shared" si="90"/>
      </c>
      <c r="Q230" s="389"/>
      <c r="R230" s="376">
        <f t="shared" si="86"/>
      </c>
      <c r="S230" s="376">
        <f t="shared" si="87"/>
      </c>
      <c r="T230" s="352"/>
      <c r="U230" s="353"/>
      <c r="V230" s="352"/>
      <c r="W230" s="343"/>
      <c r="X230" s="388">
        <f t="shared" si="83"/>
      </c>
      <c r="Y230" s="375" t="e">
        <f t="shared" si="78"/>
        <v>#N/A</v>
      </c>
      <c r="Z230" s="375" t="e">
        <f t="shared" si="79"/>
        <v>#N/A</v>
      </c>
      <c r="AA230" s="375">
        <f t="shared" si="84"/>
      </c>
      <c r="AB230" s="377">
        <f t="shared" si="54"/>
        <v>1</v>
      </c>
      <c r="AC230" s="375" t="str">
        <f t="shared" si="55"/>
        <v> </v>
      </c>
      <c r="AD230" s="375" t="e">
        <f t="shared" si="56"/>
        <v>#N/A</v>
      </c>
      <c r="AE230" s="375" t="str">
        <f t="shared" si="57"/>
        <v> </v>
      </c>
      <c r="AF230" s="375" t="e">
        <f t="shared" si="80"/>
        <v>#N/A</v>
      </c>
      <c r="AG230" s="378" t="str">
        <f t="shared" si="58"/>
        <v> </v>
      </c>
      <c r="AH230" s="379" t="e">
        <f t="shared" si="59"/>
        <v>#VALUE!</v>
      </c>
      <c r="AI230" s="378" t="e">
        <f t="shared" si="77"/>
        <v>#VALUE!</v>
      </c>
      <c r="AJ230" s="375" t="e">
        <f t="shared" si="61"/>
        <v>#N/A</v>
      </c>
      <c r="AK230" s="375" t="e">
        <f>VLOOKUP(AJ230,'排出係数表'!$A$4:$C$202,2,FALSE)</f>
        <v>#N/A</v>
      </c>
      <c r="AL230" s="375" t="e">
        <f t="shared" si="81"/>
        <v>#N/A</v>
      </c>
      <c r="AM230" s="375" t="e">
        <f>VLOOKUP(AJ230,'排出係数表'!$A$4:$C$202,3,FALSE)</f>
        <v>#N/A</v>
      </c>
      <c r="AN230" s="375" t="e">
        <f t="shared" si="82"/>
        <v>#N/A</v>
      </c>
      <c r="AO230" s="375">
        <f t="shared" si="62"/>
      </c>
      <c r="AP230" s="379" t="str">
        <f t="shared" si="63"/>
        <v>-</v>
      </c>
      <c r="AQ230" s="375" t="e">
        <f t="shared" si="88"/>
        <v>#VALUE!</v>
      </c>
      <c r="AR230" s="375">
        <f t="shared" si="85"/>
      </c>
    </row>
    <row r="231" spans="1:44" s="380" customFormat="1" ht="13.5" customHeight="1">
      <c r="A231" s="375" t="str">
        <f>IF(ISBLANK(F231)=TRUE," ",IF(ISBLANK('様式2'!$C$23)=TRUE," ",'様式2'!$C$23))</f>
        <v> </v>
      </c>
      <c r="B231" s="375" t="e">
        <f>LOOKUP(LOOKUP(C231,'様式3'!$A$5:$A$44,'様式3'!$C$5:$C$44),'産業分類表'!$D$2:$D$68,'産業分類表'!$E$2:$E$68)</f>
        <v>#N/A</v>
      </c>
      <c r="C231" s="343"/>
      <c r="D231" s="343"/>
      <c r="E231" s="343"/>
      <c r="F231" s="343"/>
      <c r="G231" s="341"/>
      <c r="H231" s="349"/>
      <c r="I231" s="343"/>
      <c r="J231" s="343"/>
      <c r="K231" s="342"/>
      <c r="L231" s="350"/>
      <c r="M231" s="351"/>
      <c r="N231" s="343"/>
      <c r="O231" s="354">
        <f t="shared" si="89"/>
      </c>
      <c r="P231" s="354">
        <f t="shared" si="90"/>
      </c>
      <c r="Q231" s="389"/>
      <c r="R231" s="376">
        <f t="shared" si="86"/>
      </c>
      <c r="S231" s="376">
        <f t="shared" si="87"/>
      </c>
      <c r="T231" s="352"/>
      <c r="U231" s="353"/>
      <c r="V231" s="352"/>
      <c r="W231" s="343"/>
      <c r="X231" s="388">
        <f t="shared" si="83"/>
      </c>
      <c r="Y231" s="375" t="e">
        <f t="shared" si="78"/>
        <v>#N/A</v>
      </c>
      <c r="Z231" s="375" t="e">
        <f t="shared" si="79"/>
        <v>#N/A</v>
      </c>
      <c r="AA231" s="375">
        <f t="shared" si="84"/>
      </c>
      <c r="AB231" s="377">
        <f t="shared" si="54"/>
        <v>1</v>
      </c>
      <c r="AC231" s="375" t="str">
        <f t="shared" si="55"/>
        <v> </v>
      </c>
      <c r="AD231" s="375" t="e">
        <f t="shared" si="56"/>
        <v>#N/A</v>
      </c>
      <c r="AE231" s="375" t="str">
        <f t="shared" si="57"/>
        <v> </v>
      </c>
      <c r="AF231" s="375" t="e">
        <f t="shared" si="80"/>
        <v>#N/A</v>
      </c>
      <c r="AG231" s="378" t="str">
        <f t="shared" si="58"/>
        <v> </v>
      </c>
      <c r="AH231" s="379" t="e">
        <f t="shared" si="59"/>
        <v>#VALUE!</v>
      </c>
      <c r="AI231" s="378" t="e">
        <f t="shared" si="77"/>
        <v>#VALUE!</v>
      </c>
      <c r="AJ231" s="375" t="e">
        <f t="shared" si="61"/>
        <v>#N/A</v>
      </c>
      <c r="AK231" s="375" t="e">
        <f>VLOOKUP(AJ231,'排出係数表'!$A$4:$C$202,2,FALSE)</f>
        <v>#N/A</v>
      </c>
      <c r="AL231" s="375" t="e">
        <f t="shared" si="81"/>
        <v>#N/A</v>
      </c>
      <c r="AM231" s="375" t="e">
        <f>VLOOKUP(AJ231,'排出係数表'!$A$4:$C$202,3,FALSE)</f>
        <v>#N/A</v>
      </c>
      <c r="AN231" s="375" t="e">
        <f t="shared" si="82"/>
        <v>#N/A</v>
      </c>
      <c r="AO231" s="375">
        <f t="shared" si="62"/>
      </c>
      <c r="AP231" s="379" t="str">
        <f t="shared" si="63"/>
        <v>-</v>
      </c>
      <c r="AQ231" s="375" t="e">
        <f t="shared" si="88"/>
        <v>#VALUE!</v>
      </c>
      <c r="AR231" s="375">
        <f t="shared" si="85"/>
      </c>
    </row>
    <row r="232" spans="1:44" s="380" customFormat="1" ht="13.5" customHeight="1">
      <c r="A232" s="375" t="str">
        <f>IF(ISBLANK(F232)=TRUE," ",IF(ISBLANK('様式2'!$C$23)=TRUE," ",'様式2'!$C$23))</f>
        <v> </v>
      </c>
      <c r="B232" s="375" t="e">
        <f>LOOKUP(LOOKUP(C232,'様式3'!$A$5:$A$44,'様式3'!$C$5:$C$44),'産業分類表'!$D$2:$D$68,'産業分類表'!$E$2:$E$68)</f>
        <v>#N/A</v>
      </c>
      <c r="C232" s="343"/>
      <c r="D232" s="343"/>
      <c r="E232" s="343"/>
      <c r="F232" s="343"/>
      <c r="G232" s="341"/>
      <c r="H232" s="349"/>
      <c r="I232" s="343"/>
      <c r="J232" s="343"/>
      <c r="K232" s="342"/>
      <c r="L232" s="350"/>
      <c r="M232" s="351"/>
      <c r="N232" s="343"/>
      <c r="O232" s="354">
        <f t="shared" si="89"/>
      </c>
      <c r="P232" s="354">
        <f t="shared" si="90"/>
      </c>
      <c r="Q232" s="389"/>
      <c r="R232" s="376">
        <f t="shared" si="86"/>
      </c>
      <c r="S232" s="376">
        <f t="shared" si="87"/>
      </c>
      <c r="T232" s="352"/>
      <c r="U232" s="353"/>
      <c r="V232" s="352"/>
      <c r="W232" s="343"/>
      <c r="X232" s="388">
        <f t="shared" si="83"/>
      </c>
      <c r="Y232" s="375" t="e">
        <f t="shared" si="78"/>
        <v>#N/A</v>
      </c>
      <c r="Z232" s="375" t="e">
        <f t="shared" si="79"/>
        <v>#N/A</v>
      </c>
      <c r="AA232" s="375">
        <f t="shared" si="84"/>
      </c>
      <c r="AB232" s="377">
        <f t="shared" si="54"/>
        <v>1</v>
      </c>
      <c r="AC232" s="375" t="str">
        <f t="shared" si="55"/>
        <v> </v>
      </c>
      <c r="AD232" s="375" t="e">
        <f t="shared" si="56"/>
        <v>#N/A</v>
      </c>
      <c r="AE232" s="375" t="str">
        <f t="shared" si="57"/>
        <v> </v>
      </c>
      <c r="AF232" s="375" t="e">
        <f t="shared" si="80"/>
        <v>#N/A</v>
      </c>
      <c r="AG232" s="378" t="str">
        <f t="shared" si="58"/>
        <v> </v>
      </c>
      <c r="AH232" s="379" t="e">
        <f t="shared" si="59"/>
        <v>#VALUE!</v>
      </c>
      <c r="AI232" s="378" t="e">
        <f aca="true" t="shared" si="91" ref="AI232:AI295">CONCATENATE(AH232,Z232,AE232)</f>
        <v>#VALUE!</v>
      </c>
      <c r="AJ232" s="375" t="e">
        <f t="shared" si="61"/>
        <v>#N/A</v>
      </c>
      <c r="AK232" s="375" t="e">
        <f>VLOOKUP(AJ232,'排出係数表'!$A$4:$C$202,2,FALSE)</f>
        <v>#N/A</v>
      </c>
      <c r="AL232" s="375" t="e">
        <f t="shared" si="81"/>
        <v>#N/A</v>
      </c>
      <c r="AM232" s="375" t="e">
        <f>VLOOKUP(AJ232,'排出係数表'!$A$4:$C$202,3,FALSE)</f>
        <v>#N/A</v>
      </c>
      <c r="AN232" s="375" t="e">
        <f t="shared" si="82"/>
        <v>#N/A</v>
      </c>
      <c r="AO232" s="375">
        <f t="shared" si="62"/>
      </c>
      <c r="AP232" s="379" t="str">
        <f t="shared" si="63"/>
        <v>-</v>
      </c>
      <c r="AQ232" s="375" t="e">
        <f t="shared" si="88"/>
        <v>#VALUE!</v>
      </c>
      <c r="AR232" s="375">
        <f t="shared" si="85"/>
      </c>
    </row>
    <row r="233" spans="1:44" s="380" customFormat="1" ht="13.5" customHeight="1">
      <c r="A233" s="375" t="str">
        <f>IF(ISBLANK(F233)=TRUE," ",IF(ISBLANK('様式2'!$C$23)=TRUE," ",'様式2'!$C$23))</f>
        <v> </v>
      </c>
      <c r="B233" s="375" t="e">
        <f>LOOKUP(LOOKUP(C233,'様式3'!$A$5:$A$44,'様式3'!$C$5:$C$44),'産業分類表'!$D$2:$D$68,'産業分類表'!$E$2:$E$68)</f>
        <v>#N/A</v>
      </c>
      <c r="C233" s="343"/>
      <c r="D233" s="343"/>
      <c r="E233" s="343"/>
      <c r="F233" s="343"/>
      <c r="G233" s="341"/>
      <c r="H233" s="349"/>
      <c r="I233" s="343"/>
      <c r="J233" s="343"/>
      <c r="K233" s="342"/>
      <c r="L233" s="350"/>
      <c r="M233" s="351"/>
      <c r="N233" s="343"/>
      <c r="O233" s="354">
        <f t="shared" si="89"/>
      </c>
      <c r="P233" s="354">
        <f t="shared" si="90"/>
      </c>
      <c r="Q233" s="389"/>
      <c r="R233" s="376">
        <f t="shared" si="86"/>
      </c>
      <c r="S233" s="376">
        <f t="shared" si="87"/>
      </c>
      <c r="T233" s="352"/>
      <c r="U233" s="353"/>
      <c r="V233" s="352"/>
      <c r="W233" s="343"/>
      <c r="X233" s="388">
        <f t="shared" si="83"/>
      </c>
      <c r="Y233" s="375" t="e">
        <f t="shared" si="78"/>
        <v>#N/A</v>
      </c>
      <c r="Z233" s="375" t="e">
        <f t="shared" si="79"/>
        <v>#N/A</v>
      </c>
      <c r="AA233" s="375">
        <f t="shared" si="84"/>
      </c>
      <c r="AB233" s="377">
        <f t="shared" si="54"/>
        <v>1</v>
      </c>
      <c r="AC233" s="375" t="str">
        <f t="shared" si="55"/>
        <v> </v>
      </c>
      <c r="AD233" s="375" t="e">
        <f t="shared" si="56"/>
        <v>#N/A</v>
      </c>
      <c r="AE233" s="375" t="str">
        <f t="shared" si="57"/>
        <v> </v>
      </c>
      <c r="AF233" s="375" t="e">
        <f t="shared" si="80"/>
        <v>#N/A</v>
      </c>
      <c r="AG233" s="378" t="str">
        <f t="shared" si="58"/>
        <v> </v>
      </c>
      <c r="AH233" s="379" t="e">
        <f t="shared" si="59"/>
        <v>#VALUE!</v>
      </c>
      <c r="AI233" s="378" t="e">
        <f t="shared" si="91"/>
        <v>#VALUE!</v>
      </c>
      <c r="AJ233" s="375" t="e">
        <f t="shared" si="61"/>
        <v>#N/A</v>
      </c>
      <c r="AK233" s="375" t="e">
        <f>VLOOKUP(AJ233,'排出係数表'!$A$4:$C$202,2,FALSE)</f>
        <v>#N/A</v>
      </c>
      <c r="AL233" s="375" t="e">
        <f t="shared" si="81"/>
        <v>#N/A</v>
      </c>
      <c r="AM233" s="375" t="e">
        <f>VLOOKUP(AJ233,'排出係数表'!$A$4:$C$202,3,FALSE)</f>
        <v>#N/A</v>
      </c>
      <c r="AN233" s="375" t="e">
        <f t="shared" si="82"/>
        <v>#N/A</v>
      </c>
      <c r="AO233" s="375">
        <f t="shared" si="62"/>
      </c>
      <c r="AP233" s="379" t="str">
        <f t="shared" si="63"/>
        <v>-</v>
      </c>
      <c r="AQ233" s="375" t="e">
        <f t="shared" si="88"/>
        <v>#VALUE!</v>
      </c>
      <c r="AR233" s="375">
        <f t="shared" si="85"/>
      </c>
    </row>
    <row r="234" spans="1:44" s="380" customFormat="1" ht="13.5" customHeight="1">
      <c r="A234" s="375" t="str">
        <f>IF(ISBLANK(F234)=TRUE," ",IF(ISBLANK('様式2'!$C$23)=TRUE," ",'様式2'!$C$23))</f>
        <v> </v>
      </c>
      <c r="B234" s="375" t="e">
        <f>LOOKUP(LOOKUP(C234,'様式3'!$A$5:$A$44,'様式3'!$C$5:$C$44),'産業分類表'!$D$2:$D$68,'産業分類表'!$E$2:$E$68)</f>
        <v>#N/A</v>
      </c>
      <c r="C234" s="343"/>
      <c r="D234" s="343"/>
      <c r="E234" s="343"/>
      <c r="F234" s="343"/>
      <c r="G234" s="341"/>
      <c r="H234" s="349"/>
      <c r="I234" s="343"/>
      <c r="J234" s="343"/>
      <c r="K234" s="342"/>
      <c r="L234" s="350"/>
      <c r="M234" s="351"/>
      <c r="N234" s="343"/>
      <c r="O234" s="354">
        <f t="shared" si="89"/>
      </c>
      <c r="P234" s="354">
        <f t="shared" si="90"/>
      </c>
      <c r="Q234" s="389"/>
      <c r="R234" s="376">
        <f t="shared" si="86"/>
      </c>
      <c r="S234" s="376">
        <f t="shared" si="87"/>
      </c>
      <c r="T234" s="352"/>
      <c r="U234" s="353"/>
      <c r="V234" s="352"/>
      <c r="W234" s="343"/>
      <c r="X234" s="388">
        <f t="shared" si="83"/>
      </c>
      <c r="Y234" s="375" t="e">
        <f t="shared" si="78"/>
        <v>#N/A</v>
      </c>
      <c r="Z234" s="375" t="e">
        <f t="shared" si="79"/>
        <v>#N/A</v>
      </c>
      <c r="AA234" s="375">
        <f t="shared" si="84"/>
      </c>
      <c r="AB234" s="377">
        <f t="shared" si="54"/>
        <v>1</v>
      </c>
      <c r="AC234" s="375" t="str">
        <f t="shared" si="55"/>
        <v> </v>
      </c>
      <c r="AD234" s="375" t="e">
        <f t="shared" si="56"/>
        <v>#N/A</v>
      </c>
      <c r="AE234" s="375" t="str">
        <f t="shared" si="57"/>
        <v> </v>
      </c>
      <c r="AF234" s="375" t="e">
        <f t="shared" si="80"/>
        <v>#N/A</v>
      </c>
      <c r="AG234" s="378" t="str">
        <f t="shared" si="58"/>
        <v> </v>
      </c>
      <c r="AH234" s="379" t="e">
        <f t="shared" si="59"/>
        <v>#VALUE!</v>
      </c>
      <c r="AI234" s="378" t="e">
        <f t="shared" si="91"/>
        <v>#VALUE!</v>
      </c>
      <c r="AJ234" s="375" t="e">
        <f t="shared" si="61"/>
        <v>#N/A</v>
      </c>
      <c r="AK234" s="375" t="e">
        <f>VLOOKUP(AJ234,'排出係数表'!$A$4:$C$202,2,FALSE)</f>
        <v>#N/A</v>
      </c>
      <c r="AL234" s="375" t="e">
        <f t="shared" si="81"/>
        <v>#N/A</v>
      </c>
      <c r="AM234" s="375" t="e">
        <f>VLOOKUP(AJ234,'排出係数表'!$A$4:$C$202,3,FALSE)</f>
        <v>#N/A</v>
      </c>
      <c r="AN234" s="375" t="e">
        <f t="shared" si="82"/>
        <v>#N/A</v>
      </c>
      <c r="AO234" s="375">
        <f t="shared" si="62"/>
      </c>
      <c r="AP234" s="379" t="str">
        <f t="shared" si="63"/>
        <v>-</v>
      </c>
      <c r="AQ234" s="375" t="e">
        <f t="shared" si="88"/>
        <v>#VALUE!</v>
      </c>
      <c r="AR234" s="375">
        <f t="shared" si="85"/>
      </c>
    </row>
    <row r="235" spans="1:44" s="380" customFormat="1" ht="13.5" customHeight="1">
      <c r="A235" s="375" t="str">
        <f>IF(ISBLANK(F235)=TRUE," ",IF(ISBLANK('様式2'!$C$23)=TRUE," ",'様式2'!$C$23))</f>
        <v> </v>
      </c>
      <c r="B235" s="375" t="e">
        <f>LOOKUP(LOOKUP(C235,'様式3'!$A$5:$A$44,'様式3'!$C$5:$C$44),'産業分類表'!$D$2:$D$68,'産業分類表'!$E$2:$E$68)</f>
        <v>#N/A</v>
      </c>
      <c r="C235" s="343"/>
      <c r="D235" s="343"/>
      <c r="E235" s="343"/>
      <c r="F235" s="343"/>
      <c r="G235" s="341"/>
      <c r="H235" s="349"/>
      <c r="I235" s="343"/>
      <c r="J235" s="343"/>
      <c r="K235" s="342"/>
      <c r="L235" s="350"/>
      <c r="M235" s="351"/>
      <c r="N235" s="343"/>
      <c r="O235" s="354">
        <f t="shared" si="89"/>
      </c>
      <c r="P235" s="354">
        <f t="shared" si="90"/>
      </c>
      <c r="Q235" s="389"/>
      <c r="R235" s="376">
        <f t="shared" si="86"/>
      </c>
      <c r="S235" s="376">
        <f t="shared" si="87"/>
      </c>
      <c r="T235" s="352"/>
      <c r="U235" s="353"/>
      <c r="V235" s="352"/>
      <c r="W235" s="343"/>
      <c r="X235" s="388">
        <f t="shared" si="83"/>
      </c>
      <c r="Y235" s="375" t="e">
        <f t="shared" si="78"/>
        <v>#N/A</v>
      </c>
      <c r="Z235" s="375" t="e">
        <f t="shared" si="79"/>
        <v>#N/A</v>
      </c>
      <c r="AA235" s="375">
        <f t="shared" si="84"/>
      </c>
      <c r="AB235" s="377">
        <f t="shared" si="54"/>
        <v>1</v>
      </c>
      <c r="AC235" s="375" t="str">
        <f t="shared" si="55"/>
        <v> </v>
      </c>
      <c r="AD235" s="375" t="e">
        <f t="shared" si="56"/>
        <v>#N/A</v>
      </c>
      <c r="AE235" s="375" t="str">
        <f t="shared" si="57"/>
        <v> </v>
      </c>
      <c r="AF235" s="375" t="e">
        <f t="shared" si="80"/>
        <v>#N/A</v>
      </c>
      <c r="AG235" s="378" t="str">
        <f t="shared" si="58"/>
        <v> </v>
      </c>
      <c r="AH235" s="379" t="e">
        <f t="shared" si="59"/>
        <v>#VALUE!</v>
      </c>
      <c r="AI235" s="378" t="e">
        <f t="shared" si="91"/>
        <v>#VALUE!</v>
      </c>
      <c r="AJ235" s="375" t="e">
        <f t="shared" si="61"/>
        <v>#N/A</v>
      </c>
      <c r="AK235" s="375" t="e">
        <f>VLOOKUP(AJ235,'排出係数表'!$A$4:$C$202,2,FALSE)</f>
        <v>#N/A</v>
      </c>
      <c r="AL235" s="375" t="e">
        <f t="shared" si="81"/>
        <v>#N/A</v>
      </c>
      <c r="AM235" s="375" t="e">
        <f>VLOOKUP(AJ235,'排出係数表'!$A$4:$C$202,3,FALSE)</f>
        <v>#N/A</v>
      </c>
      <c r="AN235" s="375" t="e">
        <f t="shared" si="82"/>
        <v>#N/A</v>
      </c>
      <c r="AO235" s="375">
        <f t="shared" si="62"/>
      </c>
      <c r="AP235" s="379" t="str">
        <f t="shared" si="63"/>
        <v>-</v>
      </c>
      <c r="AQ235" s="375" t="e">
        <f t="shared" si="88"/>
        <v>#VALUE!</v>
      </c>
      <c r="AR235" s="375">
        <f t="shared" si="85"/>
      </c>
    </row>
    <row r="236" spans="1:44" s="380" customFormat="1" ht="13.5" customHeight="1">
      <c r="A236" s="375" t="str">
        <f>IF(ISBLANK(F236)=TRUE," ",IF(ISBLANK('様式2'!$C$23)=TRUE," ",'様式2'!$C$23))</f>
        <v> </v>
      </c>
      <c r="B236" s="375" t="e">
        <f>LOOKUP(LOOKUP(C236,'様式3'!$A$5:$A$44,'様式3'!$C$5:$C$44),'産業分類表'!$D$2:$D$68,'産業分類表'!$E$2:$E$68)</f>
        <v>#N/A</v>
      </c>
      <c r="C236" s="343"/>
      <c r="D236" s="343"/>
      <c r="E236" s="343"/>
      <c r="F236" s="343"/>
      <c r="G236" s="341"/>
      <c r="H236" s="349"/>
      <c r="I236" s="343"/>
      <c r="J236" s="343"/>
      <c r="K236" s="342"/>
      <c r="L236" s="350"/>
      <c r="M236" s="351"/>
      <c r="N236" s="343"/>
      <c r="O236" s="354">
        <f t="shared" si="89"/>
      </c>
      <c r="P236" s="354">
        <f t="shared" si="90"/>
      </c>
      <c r="Q236" s="389"/>
      <c r="R236" s="376">
        <f t="shared" si="86"/>
      </c>
      <c r="S236" s="376">
        <f t="shared" si="87"/>
      </c>
      <c r="T236" s="352"/>
      <c r="U236" s="353"/>
      <c r="V236" s="352"/>
      <c r="W236" s="343"/>
      <c r="X236" s="388">
        <f t="shared" si="83"/>
      </c>
      <c r="Y236" s="375" t="e">
        <f t="shared" si="78"/>
        <v>#N/A</v>
      </c>
      <c r="Z236" s="375" t="e">
        <f t="shared" si="79"/>
        <v>#N/A</v>
      </c>
      <c r="AA236" s="375">
        <f t="shared" si="84"/>
      </c>
      <c r="AB236" s="377">
        <f t="shared" si="54"/>
        <v>1</v>
      </c>
      <c r="AC236" s="375" t="str">
        <f t="shared" si="55"/>
        <v> </v>
      </c>
      <c r="AD236" s="375" t="e">
        <f t="shared" si="56"/>
        <v>#N/A</v>
      </c>
      <c r="AE236" s="375" t="str">
        <f t="shared" si="57"/>
        <v> </v>
      </c>
      <c r="AF236" s="375" t="e">
        <f t="shared" si="80"/>
        <v>#N/A</v>
      </c>
      <c r="AG236" s="378" t="str">
        <f t="shared" si="58"/>
        <v> </v>
      </c>
      <c r="AH236" s="379" t="e">
        <f t="shared" si="59"/>
        <v>#VALUE!</v>
      </c>
      <c r="AI236" s="378" t="e">
        <f t="shared" si="91"/>
        <v>#VALUE!</v>
      </c>
      <c r="AJ236" s="375" t="e">
        <f t="shared" si="61"/>
        <v>#N/A</v>
      </c>
      <c r="AK236" s="375" t="e">
        <f>VLOOKUP(AJ236,'排出係数表'!$A$4:$C$202,2,FALSE)</f>
        <v>#N/A</v>
      </c>
      <c r="AL236" s="375" t="e">
        <f t="shared" si="81"/>
        <v>#N/A</v>
      </c>
      <c r="AM236" s="375" t="e">
        <f>VLOOKUP(AJ236,'排出係数表'!$A$4:$C$202,3,FALSE)</f>
        <v>#N/A</v>
      </c>
      <c r="AN236" s="375" t="e">
        <f t="shared" si="82"/>
        <v>#N/A</v>
      </c>
      <c r="AO236" s="375">
        <f t="shared" si="62"/>
      </c>
      <c r="AP236" s="379" t="str">
        <f t="shared" si="63"/>
        <v>-</v>
      </c>
      <c r="AQ236" s="375" t="e">
        <f t="shared" si="88"/>
        <v>#VALUE!</v>
      </c>
      <c r="AR236" s="375">
        <f t="shared" si="85"/>
      </c>
    </row>
    <row r="237" spans="1:44" s="380" customFormat="1" ht="13.5" customHeight="1">
      <c r="A237" s="375" t="str">
        <f>IF(ISBLANK(F237)=TRUE," ",IF(ISBLANK('様式2'!$C$23)=TRUE," ",'様式2'!$C$23))</f>
        <v> </v>
      </c>
      <c r="B237" s="375" t="e">
        <f>LOOKUP(LOOKUP(C237,'様式3'!$A$5:$A$44,'様式3'!$C$5:$C$44),'産業分類表'!$D$2:$D$68,'産業分類表'!$E$2:$E$68)</f>
        <v>#N/A</v>
      </c>
      <c r="C237" s="343"/>
      <c r="D237" s="343"/>
      <c r="E237" s="343"/>
      <c r="F237" s="343"/>
      <c r="G237" s="341"/>
      <c r="H237" s="349"/>
      <c r="I237" s="343"/>
      <c r="J237" s="343"/>
      <c r="K237" s="342"/>
      <c r="L237" s="350"/>
      <c r="M237" s="351"/>
      <c r="N237" s="343"/>
      <c r="O237" s="354">
        <f t="shared" si="89"/>
      </c>
      <c r="P237" s="354">
        <f t="shared" si="90"/>
      </c>
      <c r="Q237" s="389"/>
      <c r="R237" s="376">
        <f t="shared" si="86"/>
      </c>
      <c r="S237" s="376">
        <f t="shared" si="87"/>
      </c>
      <c r="T237" s="352"/>
      <c r="U237" s="353"/>
      <c r="V237" s="352"/>
      <c r="W237" s="343"/>
      <c r="X237" s="388">
        <f t="shared" si="83"/>
      </c>
      <c r="Y237" s="375" t="e">
        <f t="shared" si="78"/>
        <v>#N/A</v>
      </c>
      <c r="Z237" s="375" t="e">
        <f t="shared" si="79"/>
        <v>#N/A</v>
      </c>
      <c r="AA237" s="375">
        <f t="shared" si="84"/>
      </c>
      <c r="AB237" s="377">
        <f t="shared" si="54"/>
        <v>1</v>
      </c>
      <c r="AC237" s="375" t="str">
        <f t="shared" si="55"/>
        <v> </v>
      </c>
      <c r="AD237" s="375" t="e">
        <f t="shared" si="56"/>
        <v>#N/A</v>
      </c>
      <c r="AE237" s="375" t="str">
        <f t="shared" si="57"/>
        <v> </v>
      </c>
      <c r="AF237" s="375" t="e">
        <f t="shared" si="80"/>
        <v>#N/A</v>
      </c>
      <c r="AG237" s="378" t="str">
        <f t="shared" si="58"/>
        <v> </v>
      </c>
      <c r="AH237" s="379" t="e">
        <f t="shared" si="59"/>
        <v>#VALUE!</v>
      </c>
      <c r="AI237" s="378" t="e">
        <f t="shared" si="91"/>
        <v>#VALUE!</v>
      </c>
      <c r="AJ237" s="375" t="e">
        <f t="shared" si="61"/>
        <v>#N/A</v>
      </c>
      <c r="AK237" s="375" t="e">
        <f>VLOOKUP(AJ237,'排出係数表'!$A$4:$C$202,2,FALSE)</f>
        <v>#N/A</v>
      </c>
      <c r="AL237" s="375" t="e">
        <f t="shared" si="81"/>
        <v>#N/A</v>
      </c>
      <c r="AM237" s="375" t="e">
        <f>VLOOKUP(AJ237,'排出係数表'!$A$4:$C$202,3,FALSE)</f>
        <v>#N/A</v>
      </c>
      <c r="AN237" s="375" t="e">
        <f t="shared" si="82"/>
        <v>#N/A</v>
      </c>
      <c r="AO237" s="375">
        <f t="shared" si="62"/>
      </c>
      <c r="AP237" s="379" t="str">
        <f t="shared" si="63"/>
        <v>-</v>
      </c>
      <c r="AQ237" s="375" t="e">
        <f t="shared" si="88"/>
        <v>#VALUE!</v>
      </c>
      <c r="AR237" s="375">
        <f t="shared" si="85"/>
      </c>
    </row>
    <row r="238" spans="1:44" s="380" customFormat="1" ht="13.5" customHeight="1">
      <c r="A238" s="375" t="str">
        <f>IF(ISBLANK(F238)=TRUE," ",IF(ISBLANK('様式2'!$C$23)=TRUE," ",'様式2'!$C$23))</f>
        <v> </v>
      </c>
      <c r="B238" s="375" t="e">
        <f>LOOKUP(LOOKUP(C238,'様式3'!$A$5:$A$44,'様式3'!$C$5:$C$44),'産業分類表'!$D$2:$D$68,'産業分類表'!$E$2:$E$68)</f>
        <v>#N/A</v>
      </c>
      <c r="C238" s="343"/>
      <c r="D238" s="343"/>
      <c r="E238" s="343"/>
      <c r="F238" s="343"/>
      <c r="G238" s="341"/>
      <c r="H238" s="349"/>
      <c r="I238" s="343"/>
      <c r="J238" s="343"/>
      <c r="K238" s="342"/>
      <c r="L238" s="350"/>
      <c r="M238" s="351"/>
      <c r="N238" s="343"/>
      <c r="O238" s="354">
        <f t="shared" si="89"/>
      </c>
      <c r="P238" s="354">
        <f t="shared" si="90"/>
      </c>
      <c r="Q238" s="389"/>
      <c r="R238" s="376">
        <f t="shared" si="86"/>
      </c>
      <c r="S238" s="376">
        <f t="shared" si="87"/>
      </c>
      <c r="T238" s="352"/>
      <c r="U238" s="353"/>
      <c r="V238" s="352"/>
      <c r="W238" s="343"/>
      <c r="X238" s="388">
        <f t="shared" si="83"/>
      </c>
      <c r="Y238" s="375" t="e">
        <f t="shared" si="78"/>
        <v>#N/A</v>
      </c>
      <c r="Z238" s="375" t="e">
        <f t="shared" si="79"/>
        <v>#N/A</v>
      </c>
      <c r="AA238" s="375">
        <f t="shared" si="84"/>
      </c>
      <c r="AB238" s="377">
        <f t="shared" si="54"/>
        <v>1</v>
      </c>
      <c r="AC238" s="375" t="str">
        <f t="shared" si="55"/>
        <v> </v>
      </c>
      <c r="AD238" s="375" t="e">
        <f t="shared" si="56"/>
        <v>#N/A</v>
      </c>
      <c r="AE238" s="375" t="str">
        <f t="shared" si="57"/>
        <v> </v>
      </c>
      <c r="AF238" s="375" t="e">
        <f t="shared" si="80"/>
        <v>#N/A</v>
      </c>
      <c r="AG238" s="378" t="str">
        <f t="shared" si="58"/>
        <v> </v>
      </c>
      <c r="AH238" s="379" t="e">
        <f t="shared" si="59"/>
        <v>#VALUE!</v>
      </c>
      <c r="AI238" s="378" t="e">
        <f t="shared" si="91"/>
        <v>#VALUE!</v>
      </c>
      <c r="AJ238" s="375" t="e">
        <f t="shared" si="61"/>
        <v>#N/A</v>
      </c>
      <c r="AK238" s="375" t="e">
        <f>VLOOKUP(AJ238,'排出係数表'!$A$4:$C$202,2,FALSE)</f>
        <v>#N/A</v>
      </c>
      <c r="AL238" s="375" t="e">
        <f t="shared" si="81"/>
        <v>#N/A</v>
      </c>
      <c r="AM238" s="375" t="e">
        <f>VLOOKUP(AJ238,'排出係数表'!$A$4:$C$202,3,FALSE)</f>
        <v>#N/A</v>
      </c>
      <c r="AN238" s="375" t="e">
        <f t="shared" si="82"/>
        <v>#N/A</v>
      </c>
      <c r="AO238" s="375">
        <f t="shared" si="62"/>
      </c>
      <c r="AP238" s="379" t="str">
        <f t="shared" si="63"/>
        <v>-</v>
      </c>
      <c r="AQ238" s="375" t="e">
        <f t="shared" si="88"/>
        <v>#VALUE!</v>
      </c>
      <c r="AR238" s="375">
        <f t="shared" si="85"/>
      </c>
    </row>
    <row r="239" spans="1:44" s="380" customFormat="1" ht="13.5" customHeight="1">
      <c r="A239" s="375" t="str">
        <f>IF(ISBLANK(F239)=TRUE," ",IF(ISBLANK('様式2'!$C$23)=TRUE," ",'様式2'!$C$23))</f>
        <v> </v>
      </c>
      <c r="B239" s="375" t="e">
        <f>LOOKUP(LOOKUP(C239,'様式3'!$A$5:$A$44,'様式3'!$C$5:$C$44),'産業分類表'!$D$2:$D$68,'産業分類表'!$E$2:$E$68)</f>
        <v>#N/A</v>
      </c>
      <c r="C239" s="343"/>
      <c r="D239" s="343"/>
      <c r="E239" s="343"/>
      <c r="F239" s="343"/>
      <c r="G239" s="341"/>
      <c r="H239" s="349"/>
      <c r="I239" s="343"/>
      <c r="J239" s="343"/>
      <c r="K239" s="342"/>
      <c r="L239" s="350"/>
      <c r="M239" s="351"/>
      <c r="N239" s="343"/>
      <c r="O239" s="354">
        <f t="shared" si="89"/>
      </c>
      <c r="P239" s="354">
        <f t="shared" si="90"/>
      </c>
      <c r="Q239" s="389"/>
      <c r="R239" s="376">
        <f t="shared" si="86"/>
      </c>
      <c r="S239" s="376">
        <f t="shared" si="87"/>
      </c>
      <c r="T239" s="352"/>
      <c r="U239" s="353"/>
      <c r="V239" s="352"/>
      <c r="W239" s="343"/>
      <c r="X239" s="388">
        <f t="shared" si="83"/>
      </c>
      <c r="Y239" s="375" t="e">
        <f t="shared" si="78"/>
        <v>#N/A</v>
      </c>
      <c r="Z239" s="375" t="e">
        <f t="shared" si="79"/>
        <v>#N/A</v>
      </c>
      <c r="AA239" s="375">
        <f t="shared" si="84"/>
      </c>
      <c r="AB239" s="377">
        <f t="shared" si="54"/>
        <v>1</v>
      </c>
      <c r="AC239" s="375" t="str">
        <f t="shared" si="55"/>
        <v> </v>
      </c>
      <c r="AD239" s="375" t="e">
        <f t="shared" si="56"/>
        <v>#N/A</v>
      </c>
      <c r="AE239" s="375" t="str">
        <f t="shared" si="57"/>
        <v> </v>
      </c>
      <c r="AF239" s="375" t="e">
        <f t="shared" si="80"/>
        <v>#N/A</v>
      </c>
      <c r="AG239" s="378" t="str">
        <f t="shared" si="58"/>
        <v> </v>
      </c>
      <c r="AH239" s="379" t="e">
        <f t="shared" si="59"/>
        <v>#VALUE!</v>
      </c>
      <c r="AI239" s="378" t="e">
        <f t="shared" si="91"/>
        <v>#VALUE!</v>
      </c>
      <c r="AJ239" s="375" t="e">
        <f t="shared" si="61"/>
        <v>#N/A</v>
      </c>
      <c r="AK239" s="375" t="e">
        <f>VLOOKUP(AJ239,'排出係数表'!$A$4:$C$202,2,FALSE)</f>
        <v>#N/A</v>
      </c>
      <c r="AL239" s="375" t="e">
        <f t="shared" si="81"/>
        <v>#N/A</v>
      </c>
      <c r="AM239" s="375" t="e">
        <f>VLOOKUP(AJ239,'排出係数表'!$A$4:$C$202,3,FALSE)</f>
        <v>#N/A</v>
      </c>
      <c r="AN239" s="375" t="e">
        <f t="shared" si="82"/>
        <v>#N/A</v>
      </c>
      <c r="AO239" s="375">
        <f t="shared" si="62"/>
      </c>
      <c r="AP239" s="379" t="str">
        <f t="shared" si="63"/>
        <v>-</v>
      </c>
      <c r="AQ239" s="375" t="e">
        <f t="shared" si="88"/>
        <v>#VALUE!</v>
      </c>
      <c r="AR239" s="375">
        <f t="shared" si="85"/>
      </c>
    </row>
    <row r="240" spans="1:44" s="380" customFormat="1" ht="13.5" customHeight="1">
      <c r="A240" s="375" t="str">
        <f>IF(ISBLANK(F240)=TRUE," ",IF(ISBLANK('様式2'!$C$23)=TRUE," ",'様式2'!$C$23))</f>
        <v> </v>
      </c>
      <c r="B240" s="375" t="e">
        <f>LOOKUP(LOOKUP(C240,'様式3'!$A$5:$A$44,'様式3'!$C$5:$C$44),'産業分類表'!$D$2:$D$68,'産業分類表'!$E$2:$E$68)</f>
        <v>#N/A</v>
      </c>
      <c r="C240" s="343"/>
      <c r="D240" s="343"/>
      <c r="E240" s="343"/>
      <c r="F240" s="343"/>
      <c r="G240" s="341"/>
      <c r="H240" s="349"/>
      <c r="I240" s="343"/>
      <c r="J240" s="343"/>
      <c r="K240" s="342"/>
      <c r="L240" s="350"/>
      <c r="M240" s="351"/>
      <c r="N240" s="343"/>
      <c r="O240" s="354">
        <f t="shared" si="89"/>
      </c>
      <c r="P240" s="354">
        <f t="shared" si="90"/>
      </c>
      <c r="Q240" s="389"/>
      <c r="R240" s="376">
        <f t="shared" si="86"/>
      </c>
      <c r="S240" s="376">
        <f t="shared" si="87"/>
      </c>
      <c r="T240" s="352"/>
      <c r="U240" s="353"/>
      <c r="V240" s="352"/>
      <c r="W240" s="343"/>
      <c r="X240" s="388">
        <f t="shared" si="83"/>
      </c>
      <c r="Y240" s="375" t="e">
        <f t="shared" si="78"/>
        <v>#N/A</v>
      </c>
      <c r="Z240" s="375" t="e">
        <f t="shared" si="79"/>
        <v>#N/A</v>
      </c>
      <c r="AA240" s="375">
        <f t="shared" si="84"/>
      </c>
      <c r="AB240" s="377">
        <f t="shared" si="54"/>
        <v>1</v>
      </c>
      <c r="AC240" s="375" t="str">
        <f t="shared" si="55"/>
        <v> </v>
      </c>
      <c r="AD240" s="375" t="e">
        <f t="shared" si="56"/>
        <v>#N/A</v>
      </c>
      <c r="AE240" s="375" t="str">
        <f t="shared" si="57"/>
        <v> </v>
      </c>
      <c r="AF240" s="375" t="e">
        <f t="shared" si="80"/>
        <v>#N/A</v>
      </c>
      <c r="AG240" s="378" t="str">
        <f t="shared" si="58"/>
        <v> </v>
      </c>
      <c r="AH240" s="379" t="e">
        <f t="shared" si="59"/>
        <v>#VALUE!</v>
      </c>
      <c r="AI240" s="378" t="e">
        <f t="shared" si="91"/>
        <v>#VALUE!</v>
      </c>
      <c r="AJ240" s="375" t="e">
        <f t="shared" si="61"/>
        <v>#N/A</v>
      </c>
      <c r="AK240" s="375" t="e">
        <f>VLOOKUP(AJ240,'排出係数表'!$A$4:$C$202,2,FALSE)</f>
        <v>#N/A</v>
      </c>
      <c r="AL240" s="375" t="e">
        <f t="shared" si="81"/>
        <v>#N/A</v>
      </c>
      <c r="AM240" s="375" t="e">
        <f>VLOOKUP(AJ240,'排出係数表'!$A$4:$C$202,3,FALSE)</f>
        <v>#N/A</v>
      </c>
      <c r="AN240" s="375" t="e">
        <f t="shared" si="82"/>
        <v>#N/A</v>
      </c>
      <c r="AO240" s="375">
        <f t="shared" si="62"/>
      </c>
      <c r="AP240" s="379" t="str">
        <f t="shared" si="63"/>
        <v>-</v>
      </c>
      <c r="AQ240" s="375" t="e">
        <f t="shared" si="88"/>
        <v>#VALUE!</v>
      </c>
      <c r="AR240" s="375">
        <f t="shared" si="85"/>
      </c>
    </row>
    <row r="241" spans="1:44" s="380" customFormat="1" ht="13.5" customHeight="1">
      <c r="A241" s="375" t="str">
        <f>IF(ISBLANK(F241)=TRUE," ",IF(ISBLANK('様式2'!$C$23)=TRUE," ",'様式2'!$C$23))</f>
        <v> </v>
      </c>
      <c r="B241" s="375" t="e">
        <f>LOOKUP(LOOKUP(C241,'様式3'!$A$5:$A$44,'様式3'!$C$5:$C$44),'産業分類表'!$D$2:$D$68,'産業分類表'!$E$2:$E$68)</f>
        <v>#N/A</v>
      </c>
      <c r="C241" s="343"/>
      <c r="D241" s="343"/>
      <c r="E241" s="343"/>
      <c r="F241" s="343"/>
      <c r="G241" s="341"/>
      <c r="H241" s="349"/>
      <c r="I241" s="343"/>
      <c r="J241" s="343"/>
      <c r="K241" s="342"/>
      <c r="L241" s="350"/>
      <c r="M241" s="351"/>
      <c r="N241" s="343"/>
      <c r="O241" s="354">
        <f t="shared" si="89"/>
      </c>
      <c r="P241" s="354">
        <f t="shared" si="90"/>
      </c>
      <c r="Q241" s="389"/>
      <c r="R241" s="376">
        <f t="shared" si="86"/>
      </c>
      <c r="S241" s="376">
        <f t="shared" si="87"/>
      </c>
      <c r="T241" s="352"/>
      <c r="U241" s="353"/>
      <c r="V241" s="352"/>
      <c r="W241" s="343"/>
      <c r="X241" s="388">
        <f t="shared" si="83"/>
      </c>
      <c r="Y241" s="375" t="e">
        <f t="shared" si="78"/>
        <v>#N/A</v>
      </c>
      <c r="Z241" s="375" t="e">
        <f t="shared" si="79"/>
        <v>#N/A</v>
      </c>
      <c r="AA241" s="375">
        <f t="shared" si="84"/>
      </c>
      <c r="AB241" s="377">
        <f t="shared" si="54"/>
        <v>1</v>
      </c>
      <c r="AC241" s="375" t="str">
        <f t="shared" si="55"/>
        <v> </v>
      </c>
      <c r="AD241" s="375" t="e">
        <f t="shared" si="56"/>
        <v>#N/A</v>
      </c>
      <c r="AE241" s="375" t="str">
        <f t="shared" si="57"/>
        <v> </v>
      </c>
      <c r="AF241" s="375" t="e">
        <f t="shared" si="80"/>
        <v>#N/A</v>
      </c>
      <c r="AG241" s="378" t="str">
        <f t="shared" si="58"/>
        <v> </v>
      </c>
      <c r="AH241" s="379" t="e">
        <f t="shared" si="59"/>
        <v>#VALUE!</v>
      </c>
      <c r="AI241" s="378" t="e">
        <f t="shared" si="91"/>
        <v>#VALUE!</v>
      </c>
      <c r="AJ241" s="375" t="e">
        <f t="shared" si="61"/>
        <v>#N/A</v>
      </c>
      <c r="AK241" s="375" t="e">
        <f>VLOOKUP(AJ241,'排出係数表'!$A$4:$C$202,2,FALSE)</f>
        <v>#N/A</v>
      </c>
      <c r="AL241" s="375" t="e">
        <f t="shared" si="81"/>
        <v>#N/A</v>
      </c>
      <c r="AM241" s="375" t="e">
        <f>VLOOKUP(AJ241,'排出係数表'!$A$4:$C$202,3,FALSE)</f>
        <v>#N/A</v>
      </c>
      <c r="AN241" s="375" t="e">
        <f t="shared" si="82"/>
        <v>#N/A</v>
      </c>
      <c r="AO241" s="375">
        <f t="shared" si="62"/>
      </c>
      <c r="AP241" s="379" t="str">
        <f t="shared" si="63"/>
        <v>-</v>
      </c>
      <c r="AQ241" s="375" t="e">
        <f t="shared" si="88"/>
        <v>#VALUE!</v>
      </c>
      <c r="AR241" s="375">
        <f t="shared" si="85"/>
      </c>
    </row>
    <row r="242" spans="1:44" s="380" customFormat="1" ht="13.5" customHeight="1">
      <c r="A242" s="375" t="str">
        <f>IF(ISBLANK(F242)=TRUE," ",IF(ISBLANK('様式2'!$C$23)=TRUE," ",'様式2'!$C$23))</f>
        <v> </v>
      </c>
      <c r="B242" s="375" t="e">
        <f>LOOKUP(LOOKUP(C242,'様式3'!$A$5:$A$44,'様式3'!$C$5:$C$44),'産業分類表'!$D$2:$D$68,'産業分類表'!$E$2:$E$68)</f>
        <v>#N/A</v>
      </c>
      <c r="C242" s="343"/>
      <c r="D242" s="343"/>
      <c r="E242" s="343"/>
      <c r="F242" s="343"/>
      <c r="G242" s="341"/>
      <c r="H242" s="349"/>
      <c r="I242" s="343"/>
      <c r="J242" s="343"/>
      <c r="K242" s="342"/>
      <c r="L242" s="350"/>
      <c r="M242" s="351"/>
      <c r="N242" s="343"/>
      <c r="O242" s="354">
        <f t="shared" si="89"/>
      </c>
      <c r="P242" s="354">
        <f t="shared" si="90"/>
      </c>
      <c r="Q242" s="389"/>
      <c r="R242" s="376">
        <f t="shared" si="86"/>
      </c>
      <c r="S242" s="376">
        <f t="shared" si="87"/>
      </c>
      <c r="T242" s="352"/>
      <c r="U242" s="353"/>
      <c r="V242" s="352"/>
      <c r="W242" s="343"/>
      <c r="X242" s="388">
        <f t="shared" si="83"/>
      </c>
      <c r="Y242" s="375" t="e">
        <f t="shared" si="78"/>
        <v>#N/A</v>
      </c>
      <c r="Z242" s="375" t="e">
        <f t="shared" si="79"/>
        <v>#N/A</v>
      </c>
      <c r="AA242" s="375">
        <f t="shared" si="84"/>
      </c>
      <c r="AB242" s="377">
        <f t="shared" si="54"/>
        <v>1</v>
      </c>
      <c r="AC242" s="375" t="str">
        <f t="shared" si="55"/>
        <v> </v>
      </c>
      <c r="AD242" s="375" t="e">
        <f t="shared" si="56"/>
        <v>#N/A</v>
      </c>
      <c r="AE242" s="375" t="str">
        <f t="shared" si="57"/>
        <v> </v>
      </c>
      <c r="AF242" s="375" t="e">
        <f t="shared" si="80"/>
        <v>#N/A</v>
      </c>
      <c r="AG242" s="378" t="str">
        <f t="shared" si="58"/>
        <v> </v>
      </c>
      <c r="AH242" s="379" t="e">
        <f t="shared" si="59"/>
        <v>#VALUE!</v>
      </c>
      <c r="AI242" s="378" t="e">
        <f t="shared" si="91"/>
        <v>#VALUE!</v>
      </c>
      <c r="AJ242" s="375" t="e">
        <f t="shared" si="61"/>
        <v>#N/A</v>
      </c>
      <c r="AK242" s="375" t="e">
        <f>VLOOKUP(AJ242,'排出係数表'!$A$4:$C$202,2,FALSE)</f>
        <v>#N/A</v>
      </c>
      <c r="AL242" s="375" t="e">
        <f t="shared" si="81"/>
        <v>#N/A</v>
      </c>
      <c r="AM242" s="375" t="e">
        <f>VLOOKUP(AJ242,'排出係数表'!$A$4:$C$202,3,FALSE)</f>
        <v>#N/A</v>
      </c>
      <c r="AN242" s="375" t="e">
        <f t="shared" si="82"/>
        <v>#N/A</v>
      </c>
      <c r="AO242" s="375">
        <f t="shared" si="62"/>
      </c>
      <c r="AP242" s="379" t="str">
        <f t="shared" si="63"/>
        <v>-</v>
      </c>
      <c r="AQ242" s="375" t="e">
        <f t="shared" si="88"/>
        <v>#VALUE!</v>
      </c>
      <c r="AR242" s="375">
        <f t="shared" si="85"/>
      </c>
    </row>
    <row r="243" spans="1:44" s="380" customFormat="1" ht="13.5" customHeight="1">
      <c r="A243" s="375" t="str">
        <f>IF(ISBLANK(F243)=TRUE," ",IF(ISBLANK('様式2'!$C$23)=TRUE," ",'様式2'!$C$23))</f>
        <v> </v>
      </c>
      <c r="B243" s="375" t="e">
        <f>LOOKUP(LOOKUP(C243,'様式3'!$A$5:$A$44,'様式3'!$C$5:$C$44),'産業分類表'!$D$2:$D$68,'産業分類表'!$E$2:$E$68)</f>
        <v>#N/A</v>
      </c>
      <c r="C243" s="343"/>
      <c r="D243" s="343"/>
      <c r="E243" s="343"/>
      <c r="F243" s="343"/>
      <c r="G243" s="341"/>
      <c r="H243" s="349"/>
      <c r="I243" s="343"/>
      <c r="J243" s="343"/>
      <c r="K243" s="342"/>
      <c r="L243" s="350"/>
      <c r="M243" s="351"/>
      <c r="N243" s="343"/>
      <c r="O243" s="354">
        <f t="shared" si="89"/>
      </c>
      <c r="P243" s="354">
        <f t="shared" si="90"/>
      </c>
      <c r="Q243" s="389"/>
      <c r="R243" s="376">
        <f t="shared" si="86"/>
      </c>
      <c r="S243" s="376">
        <f t="shared" si="87"/>
      </c>
      <c r="T243" s="352"/>
      <c r="U243" s="353"/>
      <c r="V243" s="352"/>
      <c r="W243" s="343"/>
      <c r="X243" s="388">
        <f t="shared" si="83"/>
      </c>
      <c r="Y243" s="375" t="e">
        <f t="shared" si="78"/>
        <v>#N/A</v>
      </c>
      <c r="Z243" s="375" t="e">
        <f t="shared" si="79"/>
        <v>#N/A</v>
      </c>
      <c r="AA243" s="375">
        <f t="shared" si="84"/>
      </c>
      <c r="AB243" s="377">
        <f t="shared" si="54"/>
        <v>1</v>
      </c>
      <c r="AC243" s="375" t="str">
        <f t="shared" si="55"/>
        <v> </v>
      </c>
      <c r="AD243" s="375" t="e">
        <f t="shared" si="56"/>
        <v>#N/A</v>
      </c>
      <c r="AE243" s="375" t="str">
        <f t="shared" si="57"/>
        <v> </v>
      </c>
      <c r="AF243" s="375" t="e">
        <f t="shared" si="80"/>
        <v>#N/A</v>
      </c>
      <c r="AG243" s="378" t="str">
        <f t="shared" si="58"/>
        <v> </v>
      </c>
      <c r="AH243" s="379" t="e">
        <f t="shared" si="59"/>
        <v>#VALUE!</v>
      </c>
      <c r="AI243" s="378" t="e">
        <f t="shared" si="91"/>
        <v>#VALUE!</v>
      </c>
      <c r="AJ243" s="375" t="e">
        <f t="shared" si="61"/>
        <v>#N/A</v>
      </c>
      <c r="AK243" s="375" t="e">
        <f>VLOOKUP(AJ243,'排出係数表'!$A$4:$C$202,2,FALSE)</f>
        <v>#N/A</v>
      </c>
      <c r="AL243" s="375" t="e">
        <f t="shared" si="81"/>
        <v>#N/A</v>
      </c>
      <c r="AM243" s="375" t="e">
        <f>VLOOKUP(AJ243,'排出係数表'!$A$4:$C$202,3,FALSE)</f>
        <v>#N/A</v>
      </c>
      <c r="AN243" s="375" t="e">
        <f t="shared" si="82"/>
        <v>#N/A</v>
      </c>
      <c r="AO243" s="375">
        <f t="shared" si="62"/>
      </c>
      <c r="AP243" s="379" t="str">
        <f t="shared" si="63"/>
        <v>-</v>
      </c>
      <c r="AQ243" s="375" t="e">
        <f t="shared" si="88"/>
        <v>#VALUE!</v>
      </c>
      <c r="AR243" s="375">
        <f t="shared" si="85"/>
      </c>
    </row>
    <row r="244" spans="1:44" s="380" customFormat="1" ht="13.5" customHeight="1">
      <c r="A244" s="375" t="str">
        <f>IF(ISBLANK(F244)=TRUE," ",IF(ISBLANK('様式2'!$C$23)=TRUE," ",'様式2'!$C$23))</f>
        <v> </v>
      </c>
      <c r="B244" s="375" t="e">
        <f>LOOKUP(LOOKUP(C244,'様式3'!$A$5:$A$44,'様式3'!$C$5:$C$44),'産業分類表'!$D$2:$D$68,'産業分類表'!$E$2:$E$68)</f>
        <v>#N/A</v>
      </c>
      <c r="C244" s="343"/>
      <c r="D244" s="343"/>
      <c r="E244" s="343"/>
      <c r="F244" s="343"/>
      <c r="G244" s="341"/>
      <c r="H244" s="349"/>
      <c r="I244" s="343"/>
      <c r="J244" s="343"/>
      <c r="K244" s="342"/>
      <c r="L244" s="350"/>
      <c r="M244" s="351"/>
      <c r="N244" s="343"/>
      <c r="O244" s="354">
        <f t="shared" si="89"/>
      </c>
      <c r="P244" s="354">
        <f t="shared" si="90"/>
      </c>
      <c r="Q244" s="389"/>
      <c r="R244" s="376">
        <f t="shared" si="86"/>
      </c>
      <c r="S244" s="376">
        <f t="shared" si="87"/>
      </c>
      <c r="T244" s="352"/>
      <c r="U244" s="353"/>
      <c r="V244" s="352"/>
      <c r="W244" s="343"/>
      <c r="X244" s="388">
        <f t="shared" si="83"/>
      </c>
      <c r="Y244" s="375" t="e">
        <f t="shared" si="78"/>
        <v>#N/A</v>
      </c>
      <c r="Z244" s="375" t="e">
        <f t="shared" si="79"/>
        <v>#N/A</v>
      </c>
      <c r="AA244" s="375">
        <f t="shared" si="84"/>
      </c>
      <c r="AB244" s="377">
        <f t="shared" si="54"/>
        <v>1</v>
      </c>
      <c r="AC244" s="375" t="str">
        <f t="shared" si="55"/>
        <v> </v>
      </c>
      <c r="AD244" s="375" t="e">
        <f t="shared" si="56"/>
        <v>#N/A</v>
      </c>
      <c r="AE244" s="375" t="str">
        <f t="shared" si="57"/>
        <v> </v>
      </c>
      <c r="AF244" s="375" t="e">
        <f t="shared" si="80"/>
        <v>#N/A</v>
      </c>
      <c r="AG244" s="378" t="str">
        <f t="shared" si="58"/>
        <v> </v>
      </c>
      <c r="AH244" s="379" t="e">
        <f t="shared" si="59"/>
        <v>#VALUE!</v>
      </c>
      <c r="AI244" s="378" t="e">
        <f t="shared" si="91"/>
        <v>#VALUE!</v>
      </c>
      <c r="AJ244" s="375" t="e">
        <f t="shared" si="61"/>
        <v>#N/A</v>
      </c>
      <c r="AK244" s="375" t="e">
        <f>VLOOKUP(AJ244,'排出係数表'!$A$4:$C$202,2,FALSE)</f>
        <v>#N/A</v>
      </c>
      <c r="AL244" s="375" t="e">
        <f t="shared" si="81"/>
        <v>#N/A</v>
      </c>
      <c r="AM244" s="375" t="e">
        <f>VLOOKUP(AJ244,'排出係数表'!$A$4:$C$202,3,FALSE)</f>
        <v>#N/A</v>
      </c>
      <c r="AN244" s="375" t="e">
        <f t="shared" si="82"/>
        <v>#N/A</v>
      </c>
      <c r="AO244" s="375">
        <f t="shared" si="62"/>
      </c>
      <c r="AP244" s="379" t="str">
        <f t="shared" si="63"/>
        <v>-</v>
      </c>
      <c r="AQ244" s="375" t="e">
        <f t="shared" si="88"/>
        <v>#VALUE!</v>
      </c>
      <c r="AR244" s="375">
        <f t="shared" si="85"/>
      </c>
    </row>
    <row r="245" spans="1:44" s="380" customFormat="1" ht="13.5" customHeight="1">
      <c r="A245" s="375" t="str">
        <f>IF(ISBLANK(F245)=TRUE," ",IF(ISBLANK('様式2'!$C$23)=TRUE," ",'様式2'!$C$23))</f>
        <v> </v>
      </c>
      <c r="B245" s="375" t="e">
        <f>LOOKUP(LOOKUP(C245,'様式3'!$A$5:$A$44,'様式3'!$C$5:$C$44),'産業分類表'!$D$2:$D$68,'産業分類表'!$E$2:$E$68)</f>
        <v>#N/A</v>
      </c>
      <c r="C245" s="343"/>
      <c r="D245" s="343"/>
      <c r="E245" s="343"/>
      <c r="F245" s="343"/>
      <c r="G245" s="341"/>
      <c r="H245" s="349"/>
      <c r="I245" s="343"/>
      <c r="J245" s="343"/>
      <c r="K245" s="342"/>
      <c r="L245" s="350"/>
      <c r="M245" s="351"/>
      <c r="N245" s="343"/>
      <c r="O245" s="354">
        <f t="shared" si="89"/>
      </c>
      <c r="P245" s="354">
        <f t="shared" si="90"/>
      </c>
      <c r="Q245" s="389"/>
      <c r="R245" s="376">
        <f t="shared" si="86"/>
      </c>
      <c r="S245" s="376">
        <f t="shared" si="87"/>
      </c>
      <c r="T245" s="352"/>
      <c r="U245" s="353"/>
      <c r="V245" s="352"/>
      <c r="W245" s="343"/>
      <c r="X245" s="388">
        <f t="shared" si="83"/>
      </c>
      <c r="Y245" s="375" t="e">
        <f t="shared" si="78"/>
        <v>#N/A</v>
      </c>
      <c r="Z245" s="375" t="e">
        <f t="shared" si="79"/>
        <v>#N/A</v>
      </c>
      <c r="AA245" s="375">
        <f t="shared" si="84"/>
      </c>
      <c r="AB245" s="377">
        <f t="shared" si="54"/>
        <v>1</v>
      </c>
      <c r="AC245" s="375" t="str">
        <f t="shared" si="55"/>
        <v> </v>
      </c>
      <c r="AD245" s="375" t="e">
        <f t="shared" si="56"/>
        <v>#N/A</v>
      </c>
      <c r="AE245" s="375" t="str">
        <f t="shared" si="57"/>
        <v> </v>
      </c>
      <c r="AF245" s="375" t="e">
        <f t="shared" si="80"/>
        <v>#N/A</v>
      </c>
      <c r="AG245" s="378" t="str">
        <f t="shared" si="58"/>
        <v> </v>
      </c>
      <c r="AH245" s="379" t="e">
        <f t="shared" si="59"/>
        <v>#VALUE!</v>
      </c>
      <c r="AI245" s="378" t="e">
        <f t="shared" si="91"/>
        <v>#VALUE!</v>
      </c>
      <c r="AJ245" s="375" t="e">
        <f t="shared" si="61"/>
        <v>#N/A</v>
      </c>
      <c r="AK245" s="375" t="e">
        <f>VLOOKUP(AJ245,'排出係数表'!$A$4:$C$202,2,FALSE)</f>
        <v>#N/A</v>
      </c>
      <c r="AL245" s="375" t="e">
        <f t="shared" si="81"/>
        <v>#N/A</v>
      </c>
      <c r="AM245" s="375" t="e">
        <f>VLOOKUP(AJ245,'排出係数表'!$A$4:$C$202,3,FALSE)</f>
        <v>#N/A</v>
      </c>
      <c r="AN245" s="375" t="e">
        <f t="shared" si="82"/>
        <v>#N/A</v>
      </c>
      <c r="AO245" s="375">
        <f t="shared" si="62"/>
      </c>
      <c r="AP245" s="379" t="str">
        <f t="shared" si="63"/>
        <v>-</v>
      </c>
      <c r="AQ245" s="375" t="e">
        <f t="shared" si="88"/>
        <v>#VALUE!</v>
      </c>
      <c r="AR245" s="375">
        <f t="shared" si="85"/>
      </c>
    </row>
    <row r="246" spans="1:44" s="380" customFormat="1" ht="13.5" customHeight="1">
      <c r="A246" s="375" t="str">
        <f>IF(ISBLANK(F246)=TRUE," ",IF(ISBLANK('様式2'!$C$23)=TRUE," ",'様式2'!$C$23))</f>
        <v> </v>
      </c>
      <c r="B246" s="375" t="e">
        <f>LOOKUP(LOOKUP(C246,'様式3'!$A$5:$A$44,'様式3'!$C$5:$C$44),'産業分類表'!$D$2:$D$68,'産業分類表'!$E$2:$E$68)</f>
        <v>#N/A</v>
      </c>
      <c r="C246" s="343"/>
      <c r="D246" s="343"/>
      <c r="E246" s="343"/>
      <c r="F246" s="343"/>
      <c r="G246" s="341"/>
      <c r="H246" s="349"/>
      <c r="I246" s="343"/>
      <c r="J246" s="343"/>
      <c r="K246" s="342"/>
      <c r="L246" s="350"/>
      <c r="M246" s="351"/>
      <c r="N246" s="343"/>
      <c r="O246" s="354">
        <f t="shared" si="89"/>
      </c>
      <c r="P246" s="354">
        <f t="shared" si="90"/>
      </c>
      <c r="Q246" s="389"/>
      <c r="R246" s="376">
        <f t="shared" si="86"/>
      </c>
      <c r="S246" s="376">
        <f t="shared" si="87"/>
      </c>
      <c r="T246" s="352"/>
      <c r="U246" s="353"/>
      <c r="V246" s="352"/>
      <c r="W246" s="343"/>
      <c r="X246" s="388">
        <f t="shared" si="83"/>
      </c>
      <c r="Y246" s="375" t="e">
        <f t="shared" si="78"/>
        <v>#N/A</v>
      </c>
      <c r="Z246" s="375" t="e">
        <f t="shared" si="79"/>
        <v>#N/A</v>
      </c>
      <c r="AA246" s="375">
        <f t="shared" si="84"/>
      </c>
      <c r="AB246" s="377">
        <f t="shared" si="54"/>
        <v>1</v>
      </c>
      <c r="AC246" s="375" t="str">
        <f t="shared" si="55"/>
        <v> </v>
      </c>
      <c r="AD246" s="375" t="e">
        <f t="shared" si="56"/>
        <v>#N/A</v>
      </c>
      <c r="AE246" s="375" t="str">
        <f t="shared" si="57"/>
        <v> </v>
      </c>
      <c r="AF246" s="375" t="e">
        <f t="shared" si="80"/>
        <v>#N/A</v>
      </c>
      <c r="AG246" s="378" t="str">
        <f t="shared" si="58"/>
        <v> </v>
      </c>
      <c r="AH246" s="379" t="e">
        <f t="shared" si="59"/>
        <v>#VALUE!</v>
      </c>
      <c r="AI246" s="378" t="e">
        <f t="shared" si="91"/>
        <v>#VALUE!</v>
      </c>
      <c r="AJ246" s="375" t="e">
        <f t="shared" si="61"/>
        <v>#N/A</v>
      </c>
      <c r="AK246" s="375" t="e">
        <f>VLOOKUP(AJ246,'排出係数表'!$A$4:$C$202,2,FALSE)</f>
        <v>#N/A</v>
      </c>
      <c r="AL246" s="375" t="e">
        <f t="shared" si="81"/>
        <v>#N/A</v>
      </c>
      <c r="AM246" s="375" t="e">
        <f>VLOOKUP(AJ246,'排出係数表'!$A$4:$C$202,3,FALSE)</f>
        <v>#N/A</v>
      </c>
      <c r="AN246" s="375" t="e">
        <f t="shared" si="82"/>
        <v>#N/A</v>
      </c>
      <c r="AO246" s="375">
        <f t="shared" si="62"/>
      </c>
      <c r="AP246" s="379" t="str">
        <f t="shared" si="63"/>
        <v>-</v>
      </c>
      <c r="AQ246" s="375" t="e">
        <f t="shared" si="88"/>
        <v>#VALUE!</v>
      </c>
      <c r="AR246" s="375">
        <f t="shared" si="85"/>
      </c>
    </row>
    <row r="247" spans="1:44" s="380" customFormat="1" ht="13.5" customHeight="1">
      <c r="A247" s="375" t="str">
        <f>IF(ISBLANK(F247)=TRUE," ",IF(ISBLANK('様式2'!$C$23)=TRUE," ",'様式2'!$C$23))</f>
        <v> </v>
      </c>
      <c r="B247" s="375" t="e">
        <f>LOOKUP(LOOKUP(C247,'様式3'!$A$5:$A$44,'様式3'!$C$5:$C$44),'産業分類表'!$D$2:$D$68,'産業分類表'!$E$2:$E$68)</f>
        <v>#N/A</v>
      </c>
      <c r="C247" s="343"/>
      <c r="D247" s="343"/>
      <c r="E247" s="343"/>
      <c r="F247" s="343"/>
      <c r="G247" s="341"/>
      <c r="H247" s="349"/>
      <c r="I247" s="343"/>
      <c r="J247" s="343"/>
      <c r="K247" s="342"/>
      <c r="L247" s="350"/>
      <c r="M247" s="351"/>
      <c r="N247" s="343"/>
      <c r="O247" s="354">
        <f t="shared" si="89"/>
      </c>
      <c r="P247" s="354">
        <f t="shared" si="90"/>
      </c>
      <c r="Q247" s="389"/>
      <c r="R247" s="376">
        <f t="shared" si="86"/>
      </c>
      <c r="S247" s="376">
        <f t="shared" si="87"/>
      </c>
      <c r="T247" s="352"/>
      <c r="U247" s="353"/>
      <c r="V247" s="352"/>
      <c r="W247" s="343"/>
      <c r="X247" s="388">
        <f t="shared" si="83"/>
      </c>
      <c r="Y247" s="375" t="e">
        <f t="shared" si="78"/>
        <v>#N/A</v>
      </c>
      <c r="Z247" s="375" t="e">
        <f t="shared" si="79"/>
        <v>#N/A</v>
      </c>
      <c r="AA247" s="375">
        <f t="shared" si="84"/>
      </c>
      <c r="AB247" s="377">
        <f t="shared" si="54"/>
        <v>1</v>
      </c>
      <c r="AC247" s="375" t="str">
        <f t="shared" si="55"/>
        <v> </v>
      </c>
      <c r="AD247" s="375" t="e">
        <f t="shared" si="56"/>
        <v>#N/A</v>
      </c>
      <c r="AE247" s="375" t="str">
        <f t="shared" si="57"/>
        <v> </v>
      </c>
      <c r="AF247" s="375" t="e">
        <f t="shared" si="80"/>
        <v>#N/A</v>
      </c>
      <c r="AG247" s="378" t="str">
        <f t="shared" si="58"/>
        <v> </v>
      </c>
      <c r="AH247" s="379" t="e">
        <f t="shared" si="59"/>
        <v>#VALUE!</v>
      </c>
      <c r="AI247" s="378" t="e">
        <f t="shared" si="91"/>
        <v>#VALUE!</v>
      </c>
      <c r="AJ247" s="375" t="e">
        <f t="shared" si="61"/>
        <v>#N/A</v>
      </c>
      <c r="AK247" s="375" t="e">
        <f>VLOOKUP(AJ247,'排出係数表'!$A$4:$C$202,2,FALSE)</f>
        <v>#N/A</v>
      </c>
      <c r="AL247" s="375" t="e">
        <f t="shared" si="81"/>
        <v>#N/A</v>
      </c>
      <c r="AM247" s="375" t="e">
        <f>VLOOKUP(AJ247,'排出係数表'!$A$4:$C$202,3,FALSE)</f>
        <v>#N/A</v>
      </c>
      <c r="AN247" s="375" t="e">
        <f t="shared" si="82"/>
        <v>#N/A</v>
      </c>
      <c r="AO247" s="375">
        <f t="shared" si="62"/>
      </c>
      <c r="AP247" s="379" t="str">
        <f t="shared" si="63"/>
        <v>-</v>
      </c>
      <c r="AQ247" s="375" t="e">
        <f t="shared" si="88"/>
        <v>#VALUE!</v>
      </c>
      <c r="AR247" s="375">
        <f t="shared" si="85"/>
      </c>
    </row>
    <row r="248" spans="1:44" s="380" customFormat="1" ht="13.5" customHeight="1">
      <c r="A248" s="375" t="str">
        <f>IF(ISBLANK(F248)=TRUE," ",IF(ISBLANK('様式2'!$C$23)=TRUE," ",'様式2'!$C$23))</f>
        <v> </v>
      </c>
      <c r="B248" s="375" t="e">
        <f>LOOKUP(LOOKUP(C248,'様式3'!$A$5:$A$44,'様式3'!$C$5:$C$44),'産業分類表'!$D$2:$D$68,'産業分類表'!$E$2:$E$68)</f>
        <v>#N/A</v>
      </c>
      <c r="C248" s="343"/>
      <c r="D248" s="343"/>
      <c r="E248" s="343"/>
      <c r="F248" s="343"/>
      <c r="G248" s="341"/>
      <c r="H248" s="349"/>
      <c r="I248" s="343"/>
      <c r="J248" s="343"/>
      <c r="K248" s="342"/>
      <c r="L248" s="350"/>
      <c r="M248" s="351"/>
      <c r="N248" s="343"/>
      <c r="O248" s="354">
        <f t="shared" si="89"/>
      </c>
      <c r="P248" s="354">
        <f t="shared" si="90"/>
      </c>
      <c r="Q248" s="389"/>
      <c r="R248" s="376">
        <f t="shared" si="86"/>
      </c>
      <c r="S248" s="376">
        <f t="shared" si="87"/>
      </c>
      <c r="T248" s="352"/>
      <c r="U248" s="353"/>
      <c r="V248" s="352"/>
      <c r="W248" s="343"/>
      <c r="X248" s="388">
        <f t="shared" si="83"/>
      </c>
      <c r="Y248" s="375" t="e">
        <f t="shared" si="78"/>
        <v>#N/A</v>
      </c>
      <c r="Z248" s="375" t="e">
        <f t="shared" si="79"/>
        <v>#N/A</v>
      </c>
      <c r="AA248" s="375">
        <f t="shared" si="84"/>
      </c>
      <c r="AB248" s="377">
        <f t="shared" si="54"/>
        <v>1</v>
      </c>
      <c r="AC248" s="375" t="str">
        <f t="shared" si="55"/>
        <v> </v>
      </c>
      <c r="AD248" s="375" t="e">
        <f t="shared" si="56"/>
        <v>#N/A</v>
      </c>
      <c r="AE248" s="375" t="str">
        <f t="shared" si="57"/>
        <v> </v>
      </c>
      <c r="AF248" s="375" t="e">
        <f t="shared" si="80"/>
        <v>#N/A</v>
      </c>
      <c r="AG248" s="378" t="str">
        <f t="shared" si="58"/>
        <v> </v>
      </c>
      <c r="AH248" s="379" t="e">
        <f t="shared" si="59"/>
        <v>#VALUE!</v>
      </c>
      <c r="AI248" s="378" t="e">
        <f t="shared" si="91"/>
        <v>#VALUE!</v>
      </c>
      <c r="AJ248" s="375" t="e">
        <f t="shared" si="61"/>
        <v>#N/A</v>
      </c>
      <c r="AK248" s="375" t="e">
        <f>VLOOKUP(AJ248,'排出係数表'!$A$4:$C$202,2,FALSE)</f>
        <v>#N/A</v>
      </c>
      <c r="AL248" s="375" t="e">
        <f t="shared" si="81"/>
        <v>#N/A</v>
      </c>
      <c r="AM248" s="375" t="e">
        <f>VLOOKUP(AJ248,'排出係数表'!$A$4:$C$202,3,FALSE)</f>
        <v>#N/A</v>
      </c>
      <c r="AN248" s="375" t="e">
        <f t="shared" si="82"/>
        <v>#N/A</v>
      </c>
      <c r="AO248" s="375">
        <f t="shared" si="62"/>
      </c>
      <c r="AP248" s="379" t="str">
        <f t="shared" si="63"/>
        <v>-</v>
      </c>
      <c r="AQ248" s="375" t="e">
        <f t="shared" si="88"/>
        <v>#VALUE!</v>
      </c>
      <c r="AR248" s="375">
        <f t="shared" si="85"/>
      </c>
    </row>
    <row r="249" spans="1:44" s="380" customFormat="1" ht="13.5" customHeight="1">
      <c r="A249" s="375" t="str">
        <f>IF(ISBLANK(F249)=TRUE," ",IF(ISBLANK('様式2'!$C$23)=TRUE," ",'様式2'!$C$23))</f>
        <v> </v>
      </c>
      <c r="B249" s="375" t="e">
        <f>LOOKUP(LOOKUP(C249,'様式3'!$A$5:$A$44,'様式3'!$C$5:$C$44),'産業分類表'!$D$2:$D$68,'産業分類表'!$E$2:$E$68)</f>
        <v>#N/A</v>
      </c>
      <c r="C249" s="343"/>
      <c r="D249" s="343"/>
      <c r="E249" s="343"/>
      <c r="F249" s="343"/>
      <c r="G249" s="341"/>
      <c r="H249" s="349"/>
      <c r="I249" s="343"/>
      <c r="J249" s="343"/>
      <c r="K249" s="342"/>
      <c r="L249" s="350"/>
      <c r="M249" s="351"/>
      <c r="N249" s="343"/>
      <c r="O249" s="354">
        <f t="shared" si="89"/>
      </c>
      <c r="P249" s="354">
        <f t="shared" si="90"/>
      </c>
      <c r="Q249" s="389"/>
      <c r="R249" s="376">
        <f t="shared" si="86"/>
      </c>
      <c r="S249" s="376">
        <f t="shared" si="87"/>
      </c>
      <c r="T249" s="352"/>
      <c r="U249" s="353"/>
      <c r="V249" s="352"/>
      <c r="W249" s="343"/>
      <c r="X249" s="388">
        <f t="shared" si="83"/>
      </c>
      <c r="Y249" s="375" t="e">
        <f t="shared" si="78"/>
        <v>#N/A</v>
      </c>
      <c r="Z249" s="375" t="e">
        <f t="shared" si="79"/>
        <v>#N/A</v>
      </c>
      <c r="AA249" s="375">
        <f t="shared" si="84"/>
      </c>
      <c r="AB249" s="377">
        <f t="shared" si="54"/>
        <v>1</v>
      </c>
      <c r="AC249" s="375" t="str">
        <f t="shared" si="55"/>
        <v> </v>
      </c>
      <c r="AD249" s="375" t="e">
        <f t="shared" si="56"/>
        <v>#N/A</v>
      </c>
      <c r="AE249" s="375" t="str">
        <f t="shared" si="57"/>
        <v> </v>
      </c>
      <c r="AF249" s="375" t="e">
        <f t="shared" si="80"/>
        <v>#N/A</v>
      </c>
      <c r="AG249" s="378" t="str">
        <f t="shared" si="58"/>
        <v> </v>
      </c>
      <c r="AH249" s="379" t="e">
        <f t="shared" si="59"/>
        <v>#VALUE!</v>
      </c>
      <c r="AI249" s="378" t="e">
        <f t="shared" si="91"/>
        <v>#VALUE!</v>
      </c>
      <c r="AJ249" s="375" t="e">
        <f t="shared" si="61"/>
        <v>#N/A</v>
      </c>
      <c r="AK249" s="375" t="e">
        <f>VLOOKUP(AJ249,'排出係数表'!$A$4:$C$202,2,FALSE)</f>
        <v>#N/A</v>
      </c>
      <c r="AL249" s="375" t="e">
        <f t="shared" si="81"/>
        <v>#N/A</v>
      </c>
      <c r="AM249" s="375" t="e">
        <f>VLOOKUP(AJ249,'排出係数表'!$A$4:$C$202,3,FALSE)</f>
        <v>#N/A</v>
      </c>
      <c r="AN249" s="375" t="e">
        <f t="shared" si="82"/>
        <v>#N/A</v>
      </c>
      <c r="AO249" s="375">
        <f t="shared" si="62"/>
      </c>
      <c r="AP249" s="379" t="str">
        <f t="shared" si="63"/>
        <v>-</v>
      </c>
      <c r="AQ249" s="375" t="e">
        <f t="shared" si="88"/>
        <v>#VALUE!</v>
      </c>
      <c r="AR249" s="375">
        <f t="shared" si="85"/>
      </c>
    </row>
    <row r="250" spans="1:44" s="380" customFormat="1" ht="13.5" customHeight="1">
      <c r="A250" s="375" t="str">
        <f>IF(ISBLANK(F250)=TRUE," ",IF(ISBLANK('様式2'!$C$23)=TRUE," ",'様式2'!$C$23))</f>
        <v> </v>
      </c>
      <c r="B250" s="375" t="e">
        <f>LOOKUP(LOOKUP(C250,'様式3'!$A$5:$A$44,'様式3'!$C$5:$C$44),'産業分類表'!$D$2:$D$68,'産業分類表'!$E$2:$E$68)</f>
        <v>#N/A</v>
      </c>
      <c r="C250" s="343"/>
      <c r="D250" s="343"/>
      <c r="E250" s="343"/>
      <c r="F250" s="343"/>
      <c r="G250" s="341"/>
      <c r="H250" s="349"/>
      <c r="I250" s="343"/>
      <c r="J250" s="343"/>
      <c r="K250" s="342"/>
      <c r="L250" s="350"/>
      <c r="M250" s="351"/>
      <c r="N250" s="343"/>
      <c r="O250" s="354">
        <f t="shared" si="89"/>
      </c>
      <c r="P250" s="354">
        <f t="shared" si="90"/>
      </c>
      <c r="Q250" s="389"/>
      <c r="R250" s="376">
        <f t="shared" si="86"/>
      </c>
      <c r="S250" s="376">
        <f t="shared" si="87"/>
      </c>
      <c r="T250" s="352"/>
      <c r="U250" s="353"/>
      <c r="V250" s="352"/>
      <c r="W250" s="343"/>
      <c r="X250" s="388">
        <f t="shared" si="83"/>
      </c>
      <c r="Y250" s="375" t="e">
        <f t="shared" si="78"/>
        <v>#N/A</v>
      </c>
      <c r="Z250" s="375" t="e">
        <f t="shared" si="79"/>
        <v>#N/A</v>
      </c>
      <c r="AA250" s="375">
        <f t="shared" si="84"/>
      </c>
      <c r="AB250" s="377">
        <f t="shared" si="54"/>
        <v>1</v>
      </c>
      <c r="AC250" s="375" t="str">
        <f t="shared" si="55"/>
        <v> </v>
      </c>
      <c r="AD250" s="375" t="e">
        <f t="shared" si="56"/>
        <v>#N/A</v>
      </c>
      <c r="AE250" s="375" t="str">
        <f t="shared" si="57"/>
        <v> </v>
      </c>
      <c r="AF250" s="375" t="e">
        <f t="shared" si="80"/>
        <v>#N/A</v>
      </c>
      <c r="AG250" s="378" t="str">
        <f t="shared" si="58"/>
        <v> </v>
      </c>
      <c r="AH250" s="379" t="e">
        <f t="shared" si="59"/>
        <v>#VALUE!</v>
      </c>
      <c r="AI250" s="378" t="e">
        <f t="shared" si="91"/>
        <v>#VALUE!</v>
      </c>
      <c r="AJ250" s="375" t="e">
        <f t="shared" si="61"/>
        <v>#N/A</v>
      </c>
      <c r="AK250" s="375" t="e">
        <f>VLOOKUP(AJ250,'排出係数表'!$A$4:$C$202,2,FALSE)</f>
        <v>#N/A</v>
      </c>
      <c r="AL250" s="375" t="e">
        <f t="shared" si="81"/>
        <v>#N/A</v>
      </c>
      <c r="AM250" s="375" t="e">
        <f>VLOOKUP(AJ250,'排出係数表'!$A$4:$C$202,3,FALSE)</f>
        <v>#N/A</v>
      </c>
      <c r="AN250" s="375" t="e">
        <f t="shared" si="82"/>
        <v>#N/A</v>
      </c>
      <c r="AO250" s="375">
        <f t="shared" si="62"/>
      </c>
      <c r="AP250" s="379" t="str">
        <f t="shared" si="63"/>
        <v>-</v>
      </c>
      <c r="AQ250" s="375" t="e">
        <f t="shared" si="88"/>
        <v>#VALUE!</v>
      </c>
      <c r="AR250" s="375">
        <f t="shared" si="85"/>
      </c>
    </row>
    <row r="251" spans="1:44" s="380" customFormat="1" ht="13.5" customHeight="1">
      <c r="A251" s="375" t="str">
        <f>IF(ISBLANK(F251)=TRUE," ",IF(ISBLANK('様式2'!$C$23)=TRUE," ",'様式2'!$C$23))</f>
        <v> </v>
      </c>
      <c r="B251" s="375" t="e">
        <f>LOOKUP(LOOKUP(C251,'様式3'!$A$5:$A$44,'様式3'!$C$5:$C$44),'産業分類表'!$D$2:$D$68,'産業分類表'!$E$2:$E$68)</f>
        <v>#N/A</v>
      </c>
      <c r="C251" s="343"/>
      <c r="D251" s="343"/>
      <c r="E251" s="343"/>
      <c r="F251" s="343"/>
      <c r="G251" s="341"/>
      <c r="H251" s="349"/>
      <c r="I251" s="343"/>
      <c r="J251" s="343"/>
      <c r="K251" s="342"/>
      <c r="L251" s="350"/>
      <c r="M251" s="351"/>
      <c r="N251" s="343"/>
      <c r="O251" s="354">
        <f t="shared" si="89"/>
      </c>
      <c r="P251" s="354">
        <f t="shared" si="90"/>
      </c>
      <c r="Q251" s="389"/>
      <c r="R251" s="376">
        <f t="shared" si="86"/>
      </c>
      <c r="S251" s="376">
        <f t="shared" si="87"/>
      </c>
      <c r="T251" s="352"/>
      <c r="U251" s="353"/>
      <c r="V251" s="352"/>
      <c r="W251" s="343"/>
      <c r="X251" s="388">
        <f t="shared" si="83"/>
      </c>
      <c r="Y251" s="375" t="e">
        <f t="shared" si="78"/>
        <v>#N/A</v>
      </c>
      <c r="Z251" s="375" t="e">
        <f t="shared" si="79"/>
        <v>#N/A</v>
      </c>
      <c r="AA251" s="375">
        <f t="shared" si="84"/>
      </c>
      <c r="AB251" s="377">
        <f t="shared" si="54"/>
        <v>1</v>
      </c>
      <c r="AC251" s="375" t="str">
        <f t="shared" si="55"/>
        <v> </v>
      </c>
      <c r="AD251" s="375" t="e">
        <f t="shared" si="56"/>
        <v>#N/A</v>
      </c>
      <c r="AE251" s="375" t="str">
        <f t="shared" si="57"/>
        <v> </v>
      </c>
      <c r="AF251" s="375" t="e">
        <f t="shared" si="80"/>
        <v>#N/A</v>
      </c>
      <c r="AG251" s="378" t="str">
        <f t="shared" si="58"/>
        <v> </v>
      </c>
      <c r="AH251" s="379" t="e">
        <f t="shared" si="59"/>
        <v>#VALUE!</v>
      </c>
      <c r="AI251" s="378" t="e">
        <f t="shared" si="91"/>
        <v>#VALUE!</v>
      </c>
      <c r="AJ251" s="375" t="e">
        <f t="shared" si="61"/>
        <v>#N/A</v>
      </c>
      <c r="AK251" s="375" t="e">
        <f>VLOOKUP(AJ251,'排出係数表'!$A$4:$C$202,2,FALSE)</f>
        <v>#N/A</v>
      </c>
      <c r="AL251" s="375" t="e">
        <f t="shared" si="81"/>
        <v>#N/A</v>
      </c>
      <c r="AM251" s="375" t="e">
        <f>VLOOKUP(AJ251,'排出係数表'!$A$4:$C$202,3,FALSE)</f>
        <v>#N/A</v>
      </c>
      <c r="AN251" s="375" t="e">
        <f t="shared" si="82"/>
        <v>#N/A</v>
      </c>
      <c r="AO251" s="375">
        <f t="shared" si="62"/>
      </c>
      <c r="AP251" s="379" t="str">
        <f t="shared" si="63"/>
        <v>-</v>
      </c>
      <c r="AQ251" s="375" t="e">
        <f t="shared" si="88"/>
        <v>#VALUE!</v>
      </c>
      <c r="AR251" s="375">
        <f t="shared" si="85"/>
      </c>
    </row>
    <row r="252" spans="1:44" s="380" customFormat="1" ht="13.5" customHeight="1">
      <c r="A252" s="375" t="str">
        <f>IF(ISBLANK(F252)=TRUE," ",IF(ISBLANK('様式2'!$C$23)=TRUE," ",'様式2'!$C$23))</f>
        <v> </v>
      </c>
      <c r="B252" s="375" t="e">
        <f>LOOKUP(LOOKUP(C252,'様式3'!$A$5:$A$44,'様式3'!$C$5:$C$44),'産業分類表'!$D$2:$D$68,'産業分類表'!$E$2:$E$68)</f>
        <v>#N/A</v>
      </c>
      <c r="C252" s="343"/>
      <c r="D252" s="343"/>
      <c r="E252" s="343"/>
      <c r="F252" s="343"/>
      <c r="G252" s="341"/>
      <c r="H252" s="349"/>
      <c r="I252" s="343"/>
      <c r="J252" s="343"/>
      <c r="K252" s="342"/>
      <c r="L252" s="350"/>
      <c r="M252" s="351"/>
      <c r="N252" s="343"/>
      <c r="O252" s="354">
        <f t="shared" si="89"/>
      </c>
      <c r="P252" s="354">
        <f t="shared" si="90"/>
      </c>
      <c r="Q252" s="389"/>
      <c r="R252" s="376">
        <f t="shared" si="86"/>
      </c>
      <c r="S252" s="376">
        <f t="shared" si="87"/>
      </c>
      <c r="T252" s="352"/>
      <c r="U252" s="353"/>
      <c r="V252" s="352"/>
      <c r="W252" s="343"/>
      <c r="X252" s="388">
        <f t="shared" si="83"/>
      </c>
      <c r="Y252" s="375" t="e">
        <f t="shared" si="78"/>
        <v>#N/A</v>
      </c>
      <c r="Z252" s="375" t="e">
        <f t="shared" si="79"/>
        <v>#N/A</v>
      </c>
      <c r="AA252" s="375">
        <f t="shared" si="84"/>
      </c>
      <c r="AB252" s="377">
        <f t="shared" si="54"/>
        <v>1</v>
      </c>
      <c r="AC252" s="375" t="str">
        <f t="shared" si="55"/>
        <v> </v>
      </c>
      <c r="AD252" s="375" t="e">
        <f t="shared" si="56"/>
        <v>#N/A</v>
      </c>
      <c r="AE252" s="375" t="str">
        <f t="shared" si="57"/>
        <v> </v>
      </c>
      <c r="AF252" s="375" t="e">
        <f t="shared" si="80"/>
        <v>#N/A</v>
      </c>
      <c r="AG252" s="378" t="str">
        <f t="shared" si="58"/>
        <v> </v>
      </c>
      <c r="AH252" s="379" t="e">
        <f t="shared" si="59"/>
        <v>#VALUE!</v>
      </c>
      <c r="AI252" s="378" t="e">
        <f t="shared" si="91"/>
        <v>#VALUE!</v>
      </c>
      <c r="AJ252" s="375" t="e">
        <f t="shared" si="61"/>
        <v>#N/A</v>
      </c>
      <c r="AK252" s="375" t="e">
        <f>VLOOKUP(AJ252,'排出係数表'!$A$4:$C$202,2,FALSE)</f>
        <v>#N/A</v>
      </c>
      <c r="AL252" s="375" t="e">
        <f t="shared" si="81"/>
        <v>#N/A</v>
      </c>
      <c r="AM252" s="375" t="e">
        <f>VLOOKUP(AJ252,'排出係数表'!$A$4:$C$202,3,FALSE)</f>
        <v>#N/A</v>
      </c>
      <c r="AN252" s="375" t="e">
        <f t="shared" si="82"/>
        <v>#N/A</v>
      </c>
      <c r="AO252" s="375">
        <f t="shared" si="62"/>
      </c>
      <c r="AP252" s="379" t="str">
        <f t="shared" si="63"/>
        <v>-</v>
      </c>
      <c r="AQ252" s="375" t="e">
        <f t="shared" si="88"/>
        <v>#VALUE!</v>
      </c>
      <c r="AR252" s="375">
        <f t="shared" si="85"/>
      </c>
    </row>
    <row r="253" spans="1:44" s="380" customFormat="1" ht="13.5" customHeight="1">
      <c r="A253" s="375" t="str">
        <f>IF(ISBLANK(F253)=TRUE," ",IF(ISBLANK('様式2'!$C$23)=TRUE," ",'様式2'!$C$23))</f>
        <v> </v>
      </c>
      <c r="B253" s="375" t="e">
        <f>LOOKUP(LOOKUP(C253,'様式3'!$A$5:$A$44,'様式3'!$C$5:$C$44),'産業分類表'!$D$2:$D$68,'産業分類表'!$E$2:$E$68)</f>
        <v>#N/A</v>
      </c>
      <c r="C253" s="343"/>
      <c r="D253" s="343"/>
      <c r="E253" s="343"/>
      <c r="F253" s="343"/>
      <c r="G253" s="341"/>
      <c r="H253" s="349"/>
      <c r="I253" s="343"/>
      <c r="J253" s="343"/>
      <c r="K253" s="342"/>
      <c r="L253" s="350"/>
      <c r="M253" s="351"/>
      <c r="N253" s="343"/>
      <c r="O253" s="354">
        <f t="shared" si="89"/>
      </c>
      <c r="P253" s="354">
        <f t="shared" si="90"/>
      </c>
      <c r="Q253" s="389"/>
      <c r="R253" s="376">
        <f t="shared" si="86"/>
      </c>
      <c r="S253" s="376">
        <f t="shared" si="87"/>
      </c>
      <c r="T253" s="352"/>
      <c r="U253" s="353"/>
      <c r="V253" s="352"/>
      <c r="W253" s="343"/>
      <c r="X253" s="388">
        <f t="shared" si="83"/>
      </c>
      <c r="Y253" s="375" t="e">
        <f t="shared" si="78"/>
        <v>#N/A</v>
      </c>
      <c r="Z253" s="375" t="e">
        <f t="shared" si="79"/>
        <v>#N/A</v>
      </c>
      <c r="AA253" s="375">
        <f t="shared" si="84"/>
      </c>
      <c r="AB253" s="377">
        <f t="shared" si="54"/>
        <v>1</v>
      </c>
      <c r="AC253" s="375" t="str">
        <f t="shared" si="55"/>
        <v> </v>
      </c>
      <c r="AD253" s="375" t="e">
        <f t="shared" si="56"/>
        <v>#N/A</v>
      </c>
      <c r="AE253" s="375" t="str">
        <f t="shared" si="57"/>
        <v> </v>
      </c>
      <c r="AF253" s="375" t="e">
        <f t="shared" si="80"/>
        <v>#N/A</v>
      </c>
      <c r="AG253" s="378" t="str">
        <f t="shared" si="58"/>
        <v> </v>
      </c>
      <c r="AH253" s="379" t="e">
        <f t="shared" si="59"/>
        <v>#VALUE!</v>
      </c>
      <c r="AI253" s="378" t="e">
        <f t="shared" si="91"/>
        <v>#VALUE!</v>
      </c>
      <c r="AJ253" s="375" t="e">
        <f t="shared" si="61"/>
        <v>#N/A</v>
      </c>
      <c r="AK253" s="375" t="e">
        <f>VLOOKUP(AJ253,'排出係数表'!$A$4:$C$202,2,FALSE)</f>
        <v>#N/A</v>
      </c>
      <c r="AL253" s="375" t="e">
        <f t="shared" si="81"/>
        <v>#N/A</v>
      </c>
      <c r="AM253" s="375" t="e">
        <f>VLOOKUP(AJ253,'排出係数表'!$A$4:$C$202,3,FALSE)</f>
        <v>#N/A</v>
      </c>
      <c r="AN253" s="375" t="e">
        <f t="shared" si="82"/>
        <v>#N/A</v>
      </c>
      <c r="AO253" s="375">
        <f t="shared" si="62"/>
      </c>
      <c r="AP253" s="379" t="str">
        <f t="shared" si="63"/>
        <v>-</v>
      </c>
      <c r="AQ253" s="375" t="e">
        <f t="shared" si="88"/>
        <v>#VALUE!</v>
      </c>
      <c r="AR253" s="375">
        <f t="shared" si="85"/>
      </c>
    </row>
    <row r="254" spans="1:44" s="380" customFormat="1" ht="13.5" customHeight="1">
      <c r="A254" s="375" t="str">
        <f>IF(ISBLANK(F254)=TRUE," ",IF(ISBLANK('様式2'!$C$23)=TRUE," ",'様式2'!$C$23))</f>
        <v> </v>
      </c>
      <c r="B254" s="375" t="e">
        <f>LOOKUP(LOOKUP(C254,'様式3'!$A$5:$A$44,'様式3'!$C$5:$C$44),'産業分類表'!$D$2:$D$68,'産業分類表'!$E$2:$E$68)</f>
        <v>#N/A</v>
      </c>
      <c r="C254" s="343"/>
      <c r="D254" s="343"/>
      <c r="E254" s="343"/>
      <c r="F254" s="343"/>
      <c r="G254" s="341"/>
      <c r="H254" s="349"/>
      <c r="I254" s="343"/>
      <c r="J254" s="343"/>
      <c r="K254" s="342"/>
      <c r="L254" s="350"/>
      <c r="M254" s="351"/>
      <c r="N254" s="343"/>
      <c r="O254" s="354">
        <f t="shared" si="89"/>
      </c>
      <c r="P254" s="354">
        <f t="shared" si="90"/>
      </c>
      <c r="Q254" s="389"/>
      <c r="R254" s="376">
        <f t="shared" si="86"/>
      </c>
      <c r="S254" s="376">
        <f t="shared" si="87"/>
      </c>
      <c r="T254" s="352"/>
      <c r="U254" s="353"/>
      <c r="V254" s="352"/>
      <c r="W254" s="343"/>
      <c r="X254" s="388">
        <f t="shared" si="83"/>
      </c>
      <c r="Y254" s="375" t="e">
        <f t="shared" si="78"/>
        <v>#N/A</v>
      </c>
      <c r="Z254" s="375" t="e">
        <f t="shared" si="79"/>
        <v>#N/A</v>
      </c>
      <c r="AA254" s="375">
        <f t="shared" si="84"/>
      </c>
      <c r="AB254" s="377">
        <f t="shared" si="54"/>
        <v>1</v>
      </c>
      <c r="AC254" s="375" t="str">
        <f t="shared" si="55"/>
        <v> </v>
      </c>
      <c r="AD254" s="375" t="e">
        <f t="shared" si="56"/>
        <v>#N/A</v>
      </c>
      <c r="AE254" s="375" t="str">
        <f t="shared" si="57"/>
        <v> </v>
      </c>
      <c r="AF254" s="375" t="e">
        <f t="shared" si="80"/>
        <v>#N/A</v>
      </c>
      <c r="AG254" s="378" t="str">
        <f t="shared" si="58"/>
        <v> </v>
      </c>
      <c r="AH254" s="379" t="e">
        <f t="shared" si="59"/>
        <v>#VALUE!</v>
      </c>
      <c r="AI254" s="378" t="e">
        <f t="shared" si="91"/>
        <v>#VALUE!</v>
      </c>
      <c r="AJ254" s="375" t="e">
        <f t="shared" si="61"/>
        <v>#N/A</v>
      </c>
      <c r="AK254" s="375" t="e">
        <f>VLOOKUP(AJ254,'排出係数表'!$A$4:$C$202,2,FALSE)</f>
        <v>#N/A</v>
      </c>
      <c r="AL254" s="375" t="e">
        <f t="shared" si="81"/>
        <v>#N/A</v>
      </c>
      <c r="AM254" s="375" t="e">
        <f>VLOOKUP(AJ254,'排出係数表'!$A$4:$C$202,3,FALSE)</f>
        <v>#N/A</v>
      </c>
      <c r="AN254" s="375" t="e">
        <f t="shared" si="82"/>
        <v>#N/A</v>
      </c>
      <c r="AO254" s="375">
        <f t="shared" si="62"/>
      </c>
      <c r="AP254" s="379" t="str">
        <f t="shared" si="63"/>
        <v>-</v>
      </c>
      <c r="AQ254" s="375" t="e">
        <f t="shared" si="88"/>
        <v>#VALUE!</v>
      </c>
      <c r="AR254" s="375">
        <f t="shared" si="85"/>
      </c>
    </row>
    <row r="255" spans="1:44" s="380" customFormat="1" ht="13.5" customHeight="1">
      <c r="A255" s="375" t="str">
        <f>IF(ISBLANK(F255)=TRUE," ",IF(ISBLANK('様式2'!$C$23)=TRUE," ",'様式2'!$C$23))</f>
        <v> </v>
      </c>
      <c r="B255" s="375" t="e">
        <f>LOOKUP(LOOKUP(C255,'様式3'!$A$5:$A$44,'様式3'!$C$5:$C$44),'産業分類表'!$D$2:$D$68,'産業分類表'!$E$2:$E$68)</f>
        <v>#N/A</v>
      </c>
      <c r="C255" s="343"/>
      <c r="D255" s="343"/>
      <c r="E255" s="343"/>
      <c r="F255" s="343"/>
      <c r="G255" s="341"/>
      <c r="H255" s="349"/>
      <c r="I255" s="343"/>
      <c r="J255" s="343"/>
      <c r="K255" s="342"/>
      <c r="L255" s="350"/>
      <c r="M255" s="351"/>
      <c r="N255" s="343"/>
      <c r="O255" s="354">
        <f t="shared" si="89"/>
      </c>
      <c r="P255" s="354">
        <f t="shared" si="90"/>
      </c>
      <c r="Q255" s="389"/>
      <c r="R255" s="376">
        <f t="shared" si="86"/>
      </c>
      <c r="S255" s="376">
        <f t="shared" si="87"/>
      </c>
      <c r="T255" s="352"/>
      <c r="U255" s="353"/>
      <c r="V255" s="352"/>
      <c r="W255" s="343"/>
      <c r="X255" s="388">
        <f t="shared" si="83"/>
      </c>
      <c r="Y255" s="375" t="e">
        <f t="shared" si="78"/>
        <v>#N/A</v>
      </c>
      <c r="Z255" s="375" t="e">
        <f t="shared" si="79"/>
        <v>#N/A</v>
      </c>
      <c r="AA255" s="375">
        <f t="shared" si="84"/>
      </c>
      <c r="AB255" s="377">
        <f t="shared" si="54"/>
        <v>1</v>
      </c>
      <c r="AC255" s="375" t="str">
        <f t="shared" si="55"/>
        <v> </v>
      </c>
      <c r="AD255" s="375" t="e">
        <f t="shared" si="56"/>
        <v>#N/A</v>
      </c>
      <c r="AE255" s="375" t="str">
        <f t="shared" si="57"/>
        <v> </v>
      </c>
      <c r="AF255" s="375" t="e">
        <f t="shared" si="80"/>
        <v>#N/A</v>
      </c>
      <c r="AG255" s="378" t="str">
        <f t="shared" si="58"/>
        <v> </v>
      </c>
      <c r="AH255" s="379" t="e">
        <f t="shared" si="59"/>
        <v>#VALUE!</v>
      </c>
      <c r="AI255" s="378" t="e">
        <f t="shared" si="91"/>
        <v>#VALUE!</v>
      </c>
      <c r="AJ255" s="375" t="e">
        <f t="shared" si="61"/>
        <v>#N/A</v>
      </c>
      <c r="AK255" s="375" t="e">
        <f>VLOOKUP(AJ255,'排出係数表'!$A$4:$C$202,2,FALSE)</f>
        <v>#N/A</v>
      </c>
      <c r="AL255" s="375" t="e">
        <f t="shared" si="81"/>
        <v>#N/A</v>
      </c>
      <c r="AM255" s="375" t="e">
        <f>VLOOKUP(AJ255,'排出係数表'!$A$4:$C$202,3,FALSE)</f>
        <v>#N/A</v>
      </c>
      <c r="AN255" s="375" t="e">
        <f t="shared" si="82"/>
        <v>#N/A</v>
      </c>
      <c r="AO255" s="375">
        <f t="shared" si="62"/>
      </c>
      <c r="AP255" s="379" t="str">
        <f t="shared" si="63"/>
        <v>-</v>
      </c>
      <c r="AQ255" s="375" t="e">
        <f t="shared" si="88"/>
        <v>#VALUE!</v>
      </c>
      <c r="AR255" s="375">
        <f t="shared" si="85"/>
      </c>
    </row>
    <row r="256" spans="1:44" s="380" customFormat="1" ht="13.5" customHeight="1">
      <c r="A256" s="375" t="str">
        <f>IF(ISBLANK(F256)=TRUE," ",IF(ISBLANK('様式2'!$C$23)=TRUE," ",'様式2'!$C$23))</f>
        <v> </v>
      </c>
      <c r="B256" s="375" t="e">
        <f>LOOKUP(LOOKUP(C256,'様式3'!$A$5:$A$44,'様式3'!$C$5:$C$44),'産業分類表'!$D$2:$D$68,'産業分類表'!$E$2:$E$68)</f>
        <v>#N/A</v>
      </c>
      <c r="C256" s="343"/>
      <c r="D256" s="343"/>
      <c r="E256" s="343"/>
      <c r="F256" s="343"/>
      <c r="G256" s="341"/>
      <c r="H256" s="349"/>
      <c r="I256" s="343"/>
      <c r="J256" s="343"/>
      <c r="K256" s="342"/>
      <c r="L256" s="350"/>
      <c r="M256" s="351"/>
      <c r="N256" s="343"/>
      <c r="O256" s="354">
        <f t="shared" si="89"/>
      </c>
      <c r="P256" s="354">
        <f t="shared" si="90"/>
      </c>
      <c r="Q256" s="389"/>
      <c r="R256" s="376">
        <f t="shared" si="86"/>
      </c>
      <c r="S256" s="376">
        <f t="shared" si="87"/>
      </c>
      <c r="T256" s="352"/>
      <c r="U256" s="353"/>
      <c r="V256" s="352"/>
      <c r="W256" s="343"/>
      <c r="X256" s="388">
        <f t="shared" si="83"/>
      </c>
      <c r="Y256" s="375" t="e">
        <f t="shared" si="78"/>
        <v>#N/A</v>
      </c>
      <c r="Z256" s="375" t="e">
        <f t="shared" si="79"/>
        <v>#N/A</v>
      </c>
      <c r="AA256" s="375">
        <f t="shared" si="84"/>
      </c>
      <c r="AB256" s="377">
        <f t="shared" si="54"/>
        <v>1</v>
      </c>
      <c r="AC256" s="375" t="str">
        <f t="shared" si="55"/>
        <v> </v>
      </c>
      <c r="AD256" s="375" t="e">
        <f t="shared" si="56"/>
        <v>#N/A</v>
      </c>
      <c r="AE256" s="375" t="str">
        <f t="shared" si="57"/>
        <v> </v>
      </c>
      <c r="AF256" s="375" t="e">
        <f t="shared" si="80"/>
        <v>#N/A</v>
      </c>
      <c r="AG256" s="378" t="str">
        <f t="shared" si="58"/>
        <v> </v>
      </c>
      <c r="AH256" s="379" t="e">
        <f t="shared" si="59"/>
        <v>#VALUE!</v>
      </c>
      <c r="AI256" s="378" t="e">
        <f t="shared" si="91"/>
        <v>#VALUE!</v>
      </c>
      <c r="AJ256" s="375" t="e">
        <f t="shared" si="61"/>
        <v>#N/A</v>
      </c>
      <c r="AK256" s="375" t="e">
        <f>VLOOKUP(AJ256,'排出係数表'!$A$4:$C$202,2,FALSE)</f>
        <v>#N/A</v>
      </c>
      <c r="AL256" s="375" t="e">
        <f t="shared" si="81"/>
        <v>#N/A</v>
      </c>
      <c r="AM256" s="375" t="e">
        <f>VLOOKUP(AJ256,'排出係数表'!$A$4:$C$202,3,FALSE)</f>
        <v>#N/A</v>
      </c>
      <c r="AN256" s="375" t="e">
        <f t="shared" si="82"/>
        <v>#N/A</v>
      </c>
      <c r="AO256" s="375">
        <f t="shared" si="62"/>
      </c>
      <c r="AP256" s="379" t="str">
        <f t="shared" si="63"/>
        <v>-</v>
      </c>
      <c r="AQ256" s="375" t="e">
        <f t="shared" si="88"/>
        <v>#VALUE!</v>
      </c>
      <c r="AR256" s="375">
        <f t="shared" si="85"/>
      </c>
    </row>
    <row r="257" spans="1:44" s="380" customFormat="1" ht="13.5" customHeight="1">
      <c r="A257" s="375" t="str">
        <f>IF(ISBLANK(F257)=TRUE," ",IF(ISBLANK('様式2'!$C$23)=TRUE," ",'様式2'!$C$23))</f>
        <v> </v>
      </c>
      <c r="B257" s="375" t="e">
        <f>LOOKUP(LOOKUP(C257,'様式3'!$A$5:$A$44,'様式3'!$C$5:$C$44),'産業分類表'!$D$2:$D$68,'産業分類表'!$E$2:$E$68)</f>
        <v>#N/A</v>
      </c>
      <c r="C257" s="343"/>
      <c r="D257" s="343"/>
      <c r="E257" s="343"/>
      <c r="F257" s="343"/>
      <c r="G257" s="341"/>
      <c r="H257" s="349"/>
      <c r="I257" s="343"/>
      <c r="J257" s="343"/>
      <c r="K257" s="342"/>
      <c r="L257" s="350"/>
      <c r="M257" s="351"/>
      <c r="N257" s="343"/>
      <c r="O257" s="354">
        <f t="shared" si="89"/>
      </c>
      <c r="P257" s="354">
        <f t="shared" si="90"/>
      </c>
      <c r="Q257" s="389"/>
      <c r="R257" s="376">
        <f t="shared" si="86"/>
      </c>
      <c r="S257" s="376">
        <f t="shared" si="87"/>
      </c>
      <c r="T257" s="352"/>
      <c r="U257" s="353"/>
      <c r="V257" s="352"/>
      <c r="W257" s="343"/>
      <c r="X257" s="388">
        <f t="shared" si="83"/>
      </c>
      <c r="Y257" s="375" t="e">
        <f t="shared" si="78"/>
        <v>#N/A</v>
      </c>
      <c r="Z257" s="375" t="e">
        <f t="shared" si="79"/>
        <v>#N/A</v>
      </c>
      <c r="AA257" s="375">
        <f t="shared" si="84"/>
      </c>
      <c r="AB257" s="377">
        <f t="shared" si="54"/>
        <v>1</v>
      </c>
      <c r="AC257" s="375" t="str">
        <f t="shared" si="55"/>
        <v> </v>
      </c>
      <c r="AD257" s="375" t="e">
        <f t="shared" si="56"/>
        <v>#N/A</v>
      </c>
      <c r="AE257" s="375" t="str">
        <f t="shared" si="57"/>
        <v> </v>
      </c>
      <c r="AF257" s="375" t="e">
        <f t="shared" si="80"/>
        <v>#N/A</v>
      </c>
      <c r="AG257" s="378" t="str">
        <f t="shared" si="58"/>
        <v> </v>
      </c>
      <c r="AH257" s="379" t="e">
        <f t="shared" si="59"/>
        <v>#VALUE!</v>
      </c>
      <c r="AI257" s="378" t="e">
        <f t="shared" si="91"/>
        <v>#VALUE!</v>
      </c>
      <c r="AJ257" s="375" t="e">
        <f t="shared" si="61"/>
        <v>#N/A</v>
      </c>
      <c r="AK257" s="375" t="e">
        <f>VLOOKUP(AJ257,'排出係数表'!$A$4:$C$202,2,FALSE)</f>
        <v>#N/A</v>
      </c>
      <c r="AL257" s="375" t="e">
        <f t="shared" si="81"/>
        <v>#N/A</v>
      </c>
      <c r="AM257" s="375" t="e">
        <f>VLOOKUP(AJ257,'排出係数表'!$A$4:$C$202,3,FALSE)</f>
        <v>#N/A</v>
      </c>
      <c r="AN257" s="375" t="e">
        <f t="shared" si="82"/>
        <v>#N/A</v>
      </c>
      <c r="AO257" s="375">
        <f t="shared" si="62"/>
      </c>
      <c r="AP257" s="379" t="str">
        <f t="shared" si="63"/>
        <v>-</v>
      </c>
      <c r="AQ257" s="375" t="e">
        <f t="shared" si="88"/>
        <v>#VALUE!</v>
      </c>
      <c r="AR257" s="375">
        <f t="shared" si="85"/>
      </c>
    </row>
    <row r="258" spans="1:44" s="380" customFormat="1" ht="13.5" customHeight="1">
      <c r="A258" s="375" t="str">
        <f>IF(ISBLANK(F258)=TRUE," ",IF(ISBLANK('様式2'!$C$23)=TRUE," ",'様式2'!$C$23))</f>
        <v> </v>
      </c>
      <c r="B258" s="375" t="e">
        <f>LOOKUP(LOOKUP(C258,'様式3'!$A$5:$A$44,'様式3'!$C$5:$C$44),'産業分類表'!$D$2:$D$68,'産業分類表'!$E$2:$E$68)</f>
        <v>#N/A</v>
      </c>
      <c r="C258" s="343"/>
      <c r="D258" s="343"/>
      <c r="E258" s="343"/>
      <c r="F258" s="343"/>
      <c r="G258" s="341"/>
      <c r="H258" s="349"/>
      <c r="I258" s="343"/>
      <c r="J258" s="343"/>
      <c r="K258" s="342"/>
      <c r="L258" s="350"/>
      <c r="M258" s="351"/>
      <c r="N258" s="343"/>
      <c r="O258" s="354">
        <f t="shared" si="89"/>
      </c>
      <c r="P258" s="354">
        <f t="shared" si="90"/>
      </c>
      <c r="Q258" s="389"/>
      <c r="R258" s="376">
        <f t="shared" si="86"/>
      </c>
      <c r="S258" s="376">
        <f t="shared" si="87"/>
      </c>
      <c r="T258" s="352"/>
      <c r="U258" s="353"/>
      <c r="V258" s="352"/>
      <c r="W258" s="343"/>
      <c r="X258" s="388">
        <f t="shared" si="83"/>
      </c>
      <c r="Y258" s="375" t="e">
        <f t="shared" si="78"/>
        <v>#N/A</v>
      </c>
      <c r="Z258" s="375" t="e">
        <f t="shared" si="79"/>
        <v>#N/A</v>
      </c>
      <c r="AA258" s="375">
        <f t="shared" si="84"/>
      </c>
      <c r="AB258" s="377">
        <f t="shared" si="54"/>
        <v>1</v>
      </c>
      <c r="AC258" s="375" t="str">
        <f t="shared" si="55"/>
        <v> </v>
      </c>
      <c r="AD258" s="375" t="e">
        <f t="shared" si="56"/>
        <v>#N/A</v>
      </c>
      <c r="AE258" s="375" t="str">
        <f t="shared" si="57"/>
        <v> </v>
      </c>
      <c r="AF258" s="375" t="e">
        <f t="shared" si="80"/>
        <v>#N/A</v>
      </c>
      <c r="AG258" s="378" t="str">
        <f t="shared" si="58"/>
        <v> </v>
      </c>
      <c r="AH258" s="379" t="e">
        <f t="shared" si="59"/>
        <v>#VALUE!</v>
      </c>
      <c r="AI258" s="378" t="e">
        <f t="shared" si="91"/>
        <v>#VALUE!</v>
      </c>
      <c r="AJ258" s="375" t="e">
        <f t="shared" si="61"/>
        <v>#N/A</v>
      </c>
      <c r="AK258" s="375" t="e">
        <f>VLOOKUP(AJ258,'排出係数表'!$A$4:$C$202,2,FALSE)</f>
        <v>#N/A</v>
      </c>
      <c r="AL258" s="375" t="e">
        <f t="shared" si="81"/>
        <v>#N/A</v>
      </c>
      <c r="AM258" s="375" t="e">
        <f>VLOOKUP(AJ258,'排出係数表'!$A$4:$C$202,3,FALSE)</f>
        <v>#N/A</v>
      </c>
      <c r="AN258" s="375" t="e">
        <f t="shared" si="82"/>
        <v>#N/A</v>
      </c>
      <c r="AO258" s="375">
        <f t="shared" si="62"/>
      </c>
      <c r="AP258" s="379" t="str">
        <f t="shared" si="63"/>
        <v>-</v>
      </c>
      <c r="AQ258" s="375" t="e">
        <f t="shared" si="88"/>
        <v>#VALUE!</v>
      </c>
      <c r="AR258" s="375">
        <f t="shared" si="85"/>
      </c>
    </row>
    <row r="259" spans="1:44" s="380" customFormat="1" ht="13.5" customHeight="1">
      <c r="A259" s="375" t="str">
        <f>IF(ISBLANK(F259)=TRUE," ",IF(ISBLANK('様式2'!$C$23)=TRUE," ",'様式2'!$C$23))</f>
        <v> </v>
      </c>
      <c r="B259" s="375" t="e">
        <f>LOOKUP(LOOKUP(C259,'様式3'!$A$5:$A$44,'様式3'!$C$5:$C$44),'産業分類表'!$D$2:$D$68,'産業分類表'!$E$2:$E$68)</f>
        <v>#N/A</v>
      </c>
      <c r="C259" s="343"/>
      <c r="D259" s="343"/>
      <c r="E259" s="343"/>
      <c r="F259" s="343"/>
      <c r="G259" s="341"/>
      <c r="H259" s="349"/>
      <c r="I259" s="343"/>
      <c r="J259" s="343"/>
      <c r="K259" s="342"/>
      <c r="L259" s="350"/>
      <c r="M259" s="351"/>
      <c r="N259" s="343"/>
      <c r="O259" s="354">
        <f t="shared" si="89"/>
      </c>
      <c r="P259" s="354">
        <f t="shared" si="90"/>
      </c>
      <c r="Q259" s="389"/>
      <c r="R259" s="376">
        <f t="shared" si="86"/>
      </c>
      <c r="S259" s="376">
        <f t="shared" si="87"/>
      </c>
      <c r="T259" s="352"/>
      <c r="U259" s="353"/>
      <c r="V259" s="352"/>
      <c r="W259" s="343"/>
      <c r="X259" s="388">
        <f t="shared" si="83"/>
      </c>
      <c r="Y259" s="375" t="e">
        <f t="shared" si="78"/>
        <v>#N/A</v>
      </c>
      <c r="Z259" s="375" t="e">
        <f t="shared" si="79"/>
        <v>#N/A</v>
      </c>
      <c r="AA259" s="375">
        <f t="shared" si="84"/>
      </c>
      <c r="AB259" s="377">
        <f t="shared" si="54"/>
        <v>1</v>
      </c>
      <c r="AC259" s="375" t="str">
        <f t="shared" si="55"/>
        <v> </v>
      </c>
      <c r="AD259" s="375" t="e">
        <f t="shared" si="56"/>
        <v>#N/A</v>
      </c>
      <c r="AE259" s="375" t="str">
        <f t="shared" si="57"/>
        <v> </v>
      </c>
      <c r="AF259" s="375" t="e">
        <f t="shared" si="80"/>
        <v>#N/A</v>
      </c>
      <c r="AG259" s="378" t="str">
        <f t="shared" si="58"/>
        <v> </v>
      </c>
      <c r="AH259" s="379" t="e">
        <f t="shared" si="59"/>
        <v>#VALUE!</v>
      </c>
      <c r="AI259" s="378" t="e">
        <f t="shared" si="91"/>
        <v>#VALUE!</v>
      </c>
      <c r="AJ259" s="375" t="e">
        <f t="shared" si="61"/>
        <v>#N/A</v>
      </c>
      <c r="AK259" s="375" t="e">
        <f>VLOOKUP(AJ259,'排出係数表'!$A$4:$C$202,2,FALSE)</f>
        <v>#N/A</v>
      </c>
      <c r="AL259" s="375" t="e">
        <f t="shared" si="81"/>
        <v>#N/A</v>
      </c>
      <c r="AM259" s="375" t="e">
        <f>VLOOKUP(AJ259,'排出係数表'!$A$4:$C$202,3,FALSE)</f>
        <v>#N/A</v>
      </c>
      <c r="AN259" s="375" t="e">
        <f t="shared" si="82"/>
        <v>#N/A</v>
      </c>
      <c r="AO259" s="375">
        <f t="shared" si="62"/>
      </c>
      <c r="AP259" s="379" t="str">
        <f t="shared" si="63"/>
        <v>-</v>
      </c>
      <c r="AQ259" s="375" t="e">
        <f t="shared" si="88"/>
        <v>#VALUE!</v>
      </c>
      <c r="AR259" s="375">
        <f t="shared" si="85"/>
      </c>
    </row>
    <row r="260" spans="1:44" s="380" customFormat="1" ht="13.5" customHeight="1">
      <c r="A260" s="375" t="str">
        <f>IF(ISBLANK(F260)=TRUE," ",IF(ISBLANK('様式2'!$C$23)=TRUE," ",'様式2'!$C$23))</f>
        <v> </v>
      </c>
      <c r="B260" s="375" t="e">
        <f>LOOKUP(LOOKUP(C260,'様式3'!$A$5:$A$44,'様式3'!$C$5:$C$44),'産業分類表'!$D$2:$D$68,'産業分類表'!$E$2:$E$68)</f>
        <v>#N/A</v>
      </c>
      <c r="C260" s="343"/>
      <c r="D260" s="343"/>
      <c r="E260" s="343"/>
      <c r="F260" s="343"/>
      <c r="G260" s="341"/>
      <c r="H260" s="349"/>
      <c r="I260" s="343"/>
      <c r="J260" s="343"/>
      <c r="K260" s="342"/>
      <c r="L260" s="350"/>
      <c r="M260" s="351"/>
      <c r="N260" s="343"/>
      <c r="O260" s="354">
        <f t="shared" si="89"/>
      </c>
      <c r="P260" s="354">
        <f t="shared" si="90"/>
      </c>
      <c r="Q260" s="389"/>
      <c r="R260" s="376">
        <f t="shared" si="86"/>
      </c>
      <c r="S260" s="376">
        <f t="shared" si="87"/>
      </c>
      <c r="T260" s="352"/>
      <c r="U260" s="353"/>
      <c r="V260" s="352"/>
      <c r="W260" s="343"/>
      <c r="X260" s="388">
        <f t="shared" si="83"/>
      </c>
      <c r="Y260" s="375" t="e">
        <f aca="true" t="shared" si="92" ref="Y260:Y303">LOOKUP(F260,種類,$L$306:$L$313)</f>
        <v>#N/A</v>
      </c>
      <c r="Z260" s="375" t="e">
        <f aca="true" t="shared" si="93" ref="Z260:Z303">LOOKUP(F260,種類,$M$306:$M$313)</f>
        <v>#N/A</v>
      </c>
      <c r="AA260" s="375">
        <f t="shared" si="84"/>
      </c>
      <c r="AB260" s="377">
        <f t="shared" si="54"/>
        <v>1</v>
      </c>
      <c r="AC260" s="375" t="str">
        <f t="shared" si="55"/>
        <v> </v>
      </c>
      <c r="AD260" s="375" t="e">
        <f t="shared" si="56"/>
        <v>#N/A</v>
      </c>
      <c r="AE260" s="375" t="str">
        <f t="shared" si="57"/>
        <v> </v>
      </c>
      <c r="AF260" s="375" t="e">
        <f aca="true" t="shared" si="94" ref="AF260:AF303">LOOKUP(J260,燃料,$L$320:$L$335)</f>
        <v>#N/A</v>
      </c>
      <c r="AG260" s="378" t="str">
        <f t="shared" si="58"/>
        <v> </v>
      </c>
      <c r="AH260" s="379" t="e">
        <f t="shared" si="59"/>
        <v>#VALUE!</v>
      </c>
      <c r="AI260" s="378" t="e">
        <f t="shared" si="91"/>
        <v>#VALUE!</v>
      </c>
      <c r="AJ260" s="375" t="e">
        <f t="shared" si="61"/>
        <v>#N/A</v>
      </c>
      <c r="AK260" s="375" t="e">
        <f>VLOOKUP(AJ260,'排出係数表'!$A$4:$C$202,2,FALSE)</f>
        <v>#N/A</v>
      </c>
      <c r="AL260" s="375" t="e">
        <f aca="true" t="shared" si="95" ref="AL260:AL303">IF(OR(AND(LEFT(AA260,1)="U",AA260&lt;&gt;"U"),AND(LEFT(AA260,1)="L",AA260&lt;&gt;"L"),AND(LEFT(AA260,1)="T",AA260&lt;&gt;"T")),1,LOOKUP(J260,燃料,$M$320:$M$335))</f>
        <v>#N/A</v>
      </c>
      <c r="AM260" s="375" t="e">
        <f>VLOOKUP(AJ260,'排出係数表'!$A$4:$C$202,3,FALSE)</f>
        <v>#N/A</v>
      </c>
      <c r="AN260" s="375" t="e">
        <f aca="true" t="shared" si="96" ref="AN260:AN303">LOOKUP(J260,燃料,$N$320:$N$335)</f>
        <v>#N/A</v>
      </c>
      <c r="AO260" s="375">
        <f t="shared" si="62"/>
      </c>
      <c r="AP260" s="379" t="str">
        <f t="shared" si="63"/>
        <v>-</v>
      </c>
      <c r="AQ260" s="375" t="e">
        <f t="shared" si="88"/>
        <v>#VALUE!</v>
      </c>
      <c r="AR260" s="375">
        <f t="shared" si="85"/>
      </c>
    </row>
    <row r="261" spans="1:44" s="380" customFormat="1" ht="13.5" customHeight="1">
      <c r="A261" s="375" t="str">
        <f>IF(ISBLANK(F261)=TRUE," ",IF(ISBLANK('様式2'!$C$23)=TRUE," ",'様式2'!$C$23))</f>
        <v> </v>
      </c>
      <c r="B261" s="375" t="e">
        <f>LOOKUP(LOOKUP(C261,'様式3'!$A$5:$A$44,'様式3'!$C$5:$C$44),'産業分類表'!$D$2:$D$68,'産業分類表'!$E$2:$E$68)</f>
        <v>#N/A</v>
      </c>
      <c r="C261" s="343"/>
      <c r="D261" s="343"/>
      <c r="E261" s="343"/>
      <c r="F261" s="343"/>
      <c r="G261" s="341"/>
      <c r="H261" s="349"/>
      <c r="I261" s="343"/>
      <c r="J261" s="343"/>
      <c r="K261" s="342"/>
      <c r="L261" s="350"/>
      <c r="M261" s="351"/>
      <c r="N261" s="343"/>
      <c r="O261" s="354">
        <f t="shared" si="89"/>
      </c>
      <c r="P261" s="354">
        <f t="shared" si="90"/>
      </c>
      <c r="Q261" s="389"/>
      <c r="R261" s="376">
        <f t="shared" si="86"/>
      </c>
      <c r="S261" s="376">
        <f t="shared" si="87"/>
      </c>
      <c r="T261" s="352"/>
      <c r="U261" s="353"/>
      <c r="V261" s="352"/>
      <c r="W261" s="343"/>
      <c r="X261" s="388">
        <f aca="true" t="shared" si="97" ref="X261:X303">IF(ISBLANK(F261)=TRUE,"",IF(OR(ISBLANK(C261)=TRUE,ISBLANK(D261)=TRUE),1,""))</f>
      </c>
      <c r="Y261" s="375" t="e">
        <f t="shared" si="92"/>
        <v>#N/A</v>
      </c>
      <c r="Z261" s="375" t="e">
        <f t="shared" si="93"/>
        <v>#N/A</v>
      </c>
      <c r="AA261" s="375">
        <f aca="true" t="shared" si="98" ref="AA261:AA303">IF(ISERROR(SEARCH("-",G261,1))=TRUE,ASC(UPPER(G261)),ASC(UPPER(LEFT(G261,SEARCH("-",G261,1)-1))))</f>
      </c>
      <c r="AB261" s="377">
        <f t="shared" si="54"/>
        <v>1</v>
      </c>
      <c r="AC261" s="375" t="str">
        <f t="shared" si="55"/>
        <v> </v>
      </c>
      <c r="AD261" s="375" t="e">
        <f t="shared" si="56"/>
        <v>#N/A</v>
      </c>
      <c r="AE261" s="375" t="str">
        <f t="shared" si="57"/>
        <v> </v>
      </c>
      <c r="AF261" s="375" t="e">
        <f t="shared" si="94"/>
        <v>#N/A</v>
      </c>
      <c r="AG261" s="378" t="str">
        <f t="shared" si="58"/>
        <v> </v>
      </c>
      <c r="AH261" s="379" t="e">
        <f t="shared" si="59"/>
        <v>#VALUE!</v>
      </c>
      <c r="AI261" s="378" t="e">
        <f t="shared" si="91"/>
        <v>#VALUE!</v>
      </c>
      <c r="AJ261" s="375" t="e">
        <f t="shared" si="61"/>
        <v>#N/A</v>
      </c>
      <c r="AK261" s="375" t="e">
        <f>VLOOKUP(AJ261,'排出係数表'!$A$4:$C$202,2,FALSE)</f>
        <v>#N/A</v>
      </c>
      <c r="AL261" s="375" t="e">
        <f t="shared" si="95"/>
        <v>#N/A</v>
      </c>
      <c r="AM261" s="375" t="e">
        <f>VLOOKUP(AJ261,'排出係数表'!$A$4:$C$202,3,FALSE)</f>
        <v>#N/A</v>
      </c>
      <c r="AN261" s="375" t="e">
        <f t="shared" si="96"/>
        <v>#N/A</v>
      </c>
      <c r="AO261" s="375">
        <f t="shared" si="62"/>
      </c>
      <c r="AP261" s="379" t="str">
        <f t="shared" si="63"/>
        <v>-</v>
      </c>
      <c r="AQ261" s="375" t="e">
        <f t="shared" si="88"/>
        <v>#VALUE!</v>
      </c>
      <c r="AR261" s="375">
        <f aca="true" t="shared" si="99" ref="AR261:AR303">IF(ISBLANK(T261)=TRUE,"",AQ261&amp;LEFT(U261,4))</f>
      </c>
    </row>
    <row r="262" spans="1:44" s="380" customFormat="1" ht="13.5" customHeight="1">
      <c r="A262" s="375" t="str">
        <f>IF(ISBLANK(F262)=TRUE," ",IF(ISBLANK('様式2'!$C$23)=TRUE," ",'様式2'!$C$23))</f>
        <v> </v>
      </c>
      <c r="B262" s="375" t="e">
        <f>LOOKUP(LOOKUP(C262,'様式3'!$A$5:$A$44,'様式3'!$C$5:$C$44),'産業分類表'!$D$2:$D$68,'産業分類表'!$E$2:$E$68)</f>
        <v>#N/A</v>
      </c>
      <c r="C262" s="343"/>
      <c r="D262" s="343"/>
      <c r="E262" s="343"/>
      <c r="F262" s="343"/>
      <c r="G262" s="341"/>
      <c r="H262" s="349"/>
      <c r="I262" s="343"/>
      <c r="J262" s="343"/>
      <c r="K262" s="342"/>
      <c r="L262" s="350"/>
      <c r="M262" s="351"/>
      <c r="N262" s="343"/>
      <c r="O262" s="354">
        <f t="shared" si="89"/>
      </c>
      <c r="P262" s="354">
        <f t="shared" si="90"/>
      </c>
      <c r="Q262" s="389"/>
      <c r="R262" s="376">
        <f t="shared" si="86"/>
      </c>
      <c r="S262" s="376">
        <f t="shared" si="87"/>
      </c>
      <c r="T262" s="352"/>
      <c r="U262" s="353"/>
      <c r="V262" s="352"/>
      <c r="W262" s="343"/>
      <c r="X262" s="388">
        <f t="shared" si="97"/>
      </c>
      <c r="Y262" s="375" t="e">
        <f t="shared" si="92"/>
        <v>#N/A</v>
      </c>
      <c r="Z262" s="375" t="e">
        <f t="shared" si="93"/>
        <v>#N/A</v>
      </c>
      <c r="AA262" s="375">
        <f t="shared" si="98"/>
      </c>
      <c r="AB262" s="377">
        <f t="shared" si="54"/>
        <v>1</v>
      </c>
      <c r="AC262" s="375" t="str">
        <f t="shared" si="55"/>
        <v> </v>
      </c>
      <c r="AD262" s="375" t="e">
        <f t="shared" si="56"/>
        <v>#N/A</v>
      </c>
      <c r="AE262" s="375" t="str">
        <f t="shared" si="57"/>
        <v> </v>
      </c>
      <c r="AF262" s="375" t="e">
        <f t="shared" si="94"/>
        <v>#N/A</v>
      </c>
      <c r="AG262" s="378" t="str">
        <f t="shared" si="58"/>
        <v> </v>
      </c>
      <c r="AH262" s="379" t="e">
        <f t="shared" si="59"/>
        <v>#VALUE!</v>
      </c>
      <c r="AI262" s="378" t="e">
        <f t="shared" si="91"/>
        <v>#VALUE!</v>
      </c>
      <c r="AJ262" s="375" t="e">
        <f t="shared" si="61"/>
        <v>#N/A</v>
      </c>
      <c r="AK262" s="375" t="e">
        <f>VLOOKUP(AJ262,'排出係数表'!$A$4:$C$202,2,FALSE)</f>
        <v>#N/A</v>
      </c>
      <c r="AL262" s="375" t="e">
        <f t="shared" si="95"/>
        <v>#N/A</v>
      </c>
      <c r="AM262" s="375" t="e">
        <f>VLOOKUP(AJ262,'排出係数表'!$A$4:$C$202,3,FALSE)</f>
        <v>#N/A</v>
      </c>
      <c r="AN262" s="375" t="e">
        <f t="shared" si="96"/>
        <v>#N/A</v>
      </c>
      <c r="AO262" s="375">
        <f t="shared" si="62"/>
      </c>
      <c r="AP262" s="379" t="str">
        <f t="shared" si="63"/>
        <v>-</v>
      </c>
      <c r="AQ262" s="375" t="e">
        <f t="shared" si="88"/>
        <v>#VALUE!</v>
      </c>
      <c r="AR262" s="375">
        <f t="shared" si="99"/>
      </c>
    </row>
    <row r="263" spans="1:44" s="380" customFormat="1" ht="13.5" customHeight="1">
      <c r="A263" s="375" t="str">
        <f>IF(ISBLANK(F263)=TRUE," ",IF(ISBLANK('様式2'!$C$23)=TRUE," ",'様式2'!$C$23))</f>
        <v> </v>
      </c>
      <c r="B263" s="375" t="e">
        <f>LOOKUP(LOOKUP(C263,'様式3'!$A$5:$A$44,'様式3'!$C$5:$C$44),'産業分類表'!$D$2:$D$68,'産業分類表'!$E$2:$E$68)</f>
        <v>#N/A</v>
      </c>
      <c r="C263" s="343"/>
      <c r="D263" s="343"/>
      <c r="E263" s="343"/>
      <c r="F263" s="343"/>
      <c r="G263" s="341"/>
      <c r="H263" s="349"/>
      <c r="I263" s="343"/>
      <c r="J263" s="343"/>
      <c r="K263" s="342"/>
      <c r="L263" s="350"/>
      <c r="M263" s="351"/>
      <c r="N263" s="343"/>
      <c r="O263" s="354">
        <f t="shared" si="89"/>
      </c>
      <c r="P263" s="354">
        <f t="shared" si="90"/>
      </c>
      <c r="Q263" s="389"/>
      <c r="R263" s="376">
        <f t="shared" si="86"/>
      </c>
      <c r="S263" s="376">
        <f t="shared" si="87"/>
      </c>
      <c r="T263" s="352"/>
      <c r="U263" s="353"/>
      <c r="V263" s="352"/>
      <c r="W263" s="343"/>
      <c r="X263" s="388">
        <f t="shared" si="97"/>
      </c>
      <c r="Y263" s="375" t="e">
        <f t="shared" si="92"/>
        <v>#N/A</v>
      </c>
      <c r="Z263" s="375" t="e">
        <f t="shared" si="93"/>
        <v>#N/A</v>
      </c>
      <c r="AA263" s="375">
        <f t="shared" si="98"/>
      </c>
      <c r="AB263" s="377">
        <f t="shared" si="54"/>
        <v>1</v>
      </c>
      <c r="AC263" s="375" t="str">
        <f t="shared" si="55"/>
        <v> </v>
      </c>
      <c r="AD263" s="375" t="e">
        <f t="shared" si="56"/>
        <v>#N/A</v>
      </c>
      <c r="AE263" s="375" t="str">
        <f t="shared" si="57"/>
        <v> </v>
      </c>
      <c r="AF263" s="375" t="e">
        <f t="shared" si="94"/>
        <v>#N/A</v>
      </c>
      <c r="AG263" s="378" t="str">
        <f t="shared" si="58"/>
        <v> </v>
      </c>
      <c r="AH263" s="379" t="e">
        <f t="shared" si="59"/>
        <v>#VALUE!</v>
      </c>
      <c r="AI263" s="378" t="e">
        <f t="shared" si="91"/>
        <v>#VALUE!</v>
      </c>
      <c r="AJ263" s="375" t="e">
        <f t="shared" si="61"/>
        <v>#N/A</v>
      </c>
      <c r="AK263" s="375" t="e">
        <f>VLOOKUP(AJ263,'排出係数表'!$A$4:$C$202,2,FALSE)</f>
        <v>#N/A</v>
      </c>
      <c r="AL263" s="375" t="e">
        <f t="shared" si="95"/>
        <v>#N/A</v>
      </c>
      <c r="AM263" s="375" t="e">
        <f>VLOOKUP(AJ263,'排出係数表'!$A$4:$C$202,3,FALSE)</f>
        <v>#N/A</v>
      </c>
      <c r="AN263" s="375" t="e">
        <f t="shared" si="96"/>
        <v>#N/A</v>
      </c>
      <c r="AO263" s="375">
        <f t="shared" si="62"/>
      </c>
      <c r="AP263" s="379" t="str">
        <f t="shared" si="63"/>
        <v>-</v>
      </c>
      <c r="AQ263" s="375" t="e">
        <f t="shared" si="88"/>
        <v>#VALUE!</v>
      </c>
      <c r="AR263" s="375">
        <f t="shared" si="99"/>
      </c>
    </row>
    <row r="264" spans="1:44" s="380" customFormat="1" ht="13.5" customHeight="1">
      <c r="A264" s="375" t="str">
        <f>IF(ISBLANK(F264)=TRUE," ",IF(ISBLANK('様式2'!$C$23)=TRUE," ",'様式2'!$C$23))</f>
        <v> </v>
      </c>
      <c r="B264" s="375" t="e">
        <f>LOOKUP(LOOKUP(C264,'様式3'!$A$5:$A$44,'様式3'!$C$5:$C$44),'産業分類表'!$D$2:$D$68,'産業分類表'!$E$2:$E$68)</f>
        <v>#N/A</v>
      </c>
      <c r="C264" s="343"/>
      <c r="D264" s="343"/>
      <c r="E264" s="343"/>
      <c r="F264" s="343"/>
      <c r="G264" s="341"/>
      <c r="H264" s="349"/>
      <c r="I264" s="343"/>
      <c r="J264" s="343"/>
      <c r="K264" s="342"/>
      <c r="L264" s="350"/>
      <c r="M264" s="351"/>
      <c r="N264" s="343"/>
      <c r="O264" s="354">
        <f t="shared" si="89"/>
      </c>
      <c r="P264" s="354">
        <f t="shared" si="90"/>
      </c>
      <c r="Q264" s="389"/>
      <c r="R264" s="376">
        <f t="shared" si="86"/>
      </c>
      <c r="S264" s="376">
        <f t="shared" si="87"/>
      </c>
      <c r="T264" s="352"/>
      <c r="U264" s="353"/>
      <c r="V264" s="352"/>
      <c r="W264" s="343"/>
      <c r="X264" s="388">
        <f t="shared" si="97"/>
      </c>
      <c r="Y264" s="375" t="e">
        <f t="shared" si="92"/>
        <v>#N/A</v>
      </c>
      <c r="Z264" s="375" t="e">
        <f t="shared" si="93"/>
        <v>#N/A</v>
      </c>
      <c r="AA264" s="375">
        <f t="shared" si="98"/>
      </c>
      <c r="AB264" s="377">
        <f t="shared" si="54"/>
        <v>1</v>
      </c>
      <c r="AC264" s="375" t="str">
        <f t="shared" si="55"/>
        <v> </v>
      </c>
      <c r="AD264" s="375" t="e">
        <f t="shared" si="56"/>
        <v>#N/A</v>
      </c>
      <c r="AE264" s="375" t="str">
        <f t="shared" si="57"/>
        <v> </v>
      </c>
      <c r="AF264" s="375" t="e">
        <f t="shared" si="94"/>
        <v>#N/A</v>
      </c>
      <c r="AG264" s="378" t="str">
        <f t="shared" si="58"/>
        <v> </v>
      </c>
      <c r="AH264" s="379" t="e">
        <f t="shared" si="59"/>
        <v>#VALUE!</v>
      </c>
      <c r="AI264" s="378" t="e">
        <f t="shared" si="91"/>
        <v>#VALUE!</v>
      </c>
      <c r="AJ264" s="375" t="e">
        <f t="shared" si="61"/>
        <v>#N/A</v>
      </c>
      <c r="AK264" s="375" t="e">
        <f>VLOOKUP(AJ264,'排出係数表'!$A$4:$C$202,2,FALSE)</f>
        <v>#N/A</v>
      </c>
      <c r="AL264" s="375" t="e">
        <f t="shared" si="95"/>
        <v>#N/A</v>
      </c>
      <c r="AM264" s="375" t="e">
        <f>VLOOKUP(AJ264,'排出係数表'!$A$4:$C$202,3,FALSE)</f>
        <v>#N/A</v>
      </c>
      <c r="AN264" s="375" t="e">
        <f t="shared" si="96"/>
        <v>#N/A</v>
      </c>
      <c r="AO264" s="375">
        <f t="shared" si="62"/>
      </c>
      <c r="AP264" s="379" t="str">
        <f t="shared" si="63"/>
        <v>-</v>
      </c>
      <c r="AQ264" s="375" t="e">
        <f t="shared" si="88"/>
        <v>#VALUE!</v>
      </c>
      <c r="AR264" s="375">
        <f t="shared" si="99"/>
      </c>
    </row>
    <row r="265" spans="1:44" s="380" customFormat="1" ht="13.5" customHeight="1">
      <c r="A265" s="375" t="str">
        <f>IF(ISBLANK(F265)=TRUE," ",IF(ISBLANK('様式2'!$C$23)=TRUE," ",'様式2'!$C$23))</f>
        <v> </v>
      </c>
      <c r="B265" s="375" t="e">
        <f>LOOKUP(LOOKUP(C265,'様式3'!$A$5:$A$44,'様式3'!$C$5:$C$44),'産業分類表'!$D$2:$D$68,'産業分類表'!$E$2:$E$68)</f>
        <v>#N/A</v>
      </c>
      <c r="C265" s="343"/>
      <c r="D265" s="343"/>
      <c r="E265" s="343"/>
      <c r="F265" s="343"/>
      <c r="G265" s="341"/>
      <c r="H265" s="349"/>
      <c r="I265" s="343"/>
      <c r="J265" s="343"/>
      <c r="K265" s="342"/>
      <c r="L265" s="350"/>
      <c r="M265" s="351"/>
      <c r="N265" s="343"/>
      <c r="O265" s="354">
        <f t="shared" si="89"/>
      </c>
      <c r="P265" s="354">
        <f t="shared" si="90"/>
      </c>
      <c r="Q265" s="389"/>
      <c r="R265" s="376">
        <f t="shared" si="86"/>
      </c>
      <c r="S265" s="376">
        <f t="shared" si="87"/>
      </c>
      <c r="T265" s="352"/>
      <c r="U265" s="353"/>
      <c r="V265" s="352"/>
      <c r="W265" s="343"/>
      <c r="X265" s="388">
        <f t="shared" si="97"/>
      </c>
      <c r="Y265" s="375" t="e">
        <f t="shared" si="92"/>
        <v>#N/A</v>
      </c>
      <c r="Z265" s="375" t="e">
        <f t="shared" si="93"/>
        <v>#N/A</v>
      </c>
      <c r="AA265" s="375">
        <f t="shared" si="98"/>
      </c>
      <c r="AB265" s="377">
        <f t="shared" si="54"/>
        <v>1</v>
      </c>
      <c r="AC265" s="375" t="str">
        <f t="shared" si="55"/>
        <v> </v>
      </c>
      <c r="AD265" s="375" t="e">
        <f t="shared" si="56"/>
        <v>#N/A</v>
      </c>
      <c r="AE265" s="375" t="str">
        <f t="shared" si="57"/>
        <v> </v>
      </c>
      <c r="AF265" s="375" t="e">
        <f t="shared" si="94"/>
        <v>#N/A</v>
      </c>
      <c r="AG265" s="378" t="str">
        <f t="shared" si="58"/>
        <v> </v>
      </c>
      <c r="AH265" s="379" t="e">
        <f t="shared" si="59"/>
        <v>#VALUE!</v>
      </c>
      <c r="AI265" s="378" t="e">
        <f t="shared" si="91"/>
        <v>#VALUE!</v>
      </c>
      <c r="AJ265" s="375" t="e">
        <f t="shared" si="61"/>
        <v>#N/A</v>
      </c>
      <c r="AK265" s="375" t="e">
        <f>VLOOKUP(AJ265,'排出係数表'!$A$4:$C$202,2,FALSE)</f>
        <v>#N/A</v>
      </c>
      <c r="AL265" s="375" t="e">
        <f t="shared" si="95"/>
        <v>#N/A</v>
      </c>
      <c r="AM265" s="375" t="e">
        <f>VLOOKUP(AJ265,'排出係数表'!$A$4:$C$202,3,FALSE)</f>
        <v>#N/A</v>
      </c>
      <c r="AN265" s="375" t="e">
        <f t="shared" si="96"/>
        <v>#N/A</v>
      </c>
      <c r="AO265" s="375">
        <f t="shared" si="62"/>
      </c>
      <c r="AP265" s="379" t="str">
        <f t="shared" si="63"/>
        <v>-</v>
      </c>
      <c r="AQ265" s="375" t="e">
        <f t="shared" si="88"/>
        <v>#VALUE!</v>
      </c>
      <c r="AR265" s="375">
        <f t="shared" si="99"/>
      </c>
    </row>
    <row r="266" spans="1:44" s="380" customFormat="1" ht="13.5" customHeight="1">
      <c r="A266" s="375" t="str">
        <f>IF(ISBLANK(F266)=TRUE," ",IF(ISBLANK('様式2'!$C$23)=TRUE," ",'様式2'!$C$23))</f>
        <v> </v>
      </c>
      <c r="B266" s="375" t="e">
        <f>LOOKUP(LOOKUP(C266,'様式3'!$A$5:$A$44,'様式3'!$C$5:$C$44),'産業分類表'!$D$2:$D$68,'産業分類表'!$E$2:$E$68)</f>
        <v>#N/A</v>
      </c>
      <c r="C266" s="343"/>
      <c r="D266" s="343"/>
      <c r="E266" s="343"/>
      <c r="F266" s="343"/>
      <c r="G266" s="341"/>
      <c r="H266" s="349"/>
      <c r="I266" s="343"/>
      <c r="J266" s="343"/>
      <c r="K266" s="342"/>
      <c r="L266" s="350"/>
      <c r="M266" s="351"/>
      <c r="N266" s="343"/>
      <c r="O266" s="354">
        <f t="shared" si="89"/>
      </c>
      <c r="P266" s="354">
        <f t="shared" si="90"/>
      </c>
      <c r="Q266" s="389"/>
      <c r="R266" s="376">
        <f t="shared" si="86"/>
      </c>
      <c r="S266" s="376">
        <f t="shared" si="87"/>
      </c>
      <c r="T266" s="352"/>
      <c r="U266" s="353"/>
      <c r="V266" s="352"/>
      <c r="W266" s="343"/>
      <c r="X266" s="388">
        <f t="shared" si="97"/>
      </c>
      <c r="Y266" s="375" t="e">
        <f t="shared" si="92"/>
        <v>#N/A</v>
      </c>
      <c r="Z266" s="375" t="e">
        <f t="shared" si="93"/>
        <v>#N/A</v>
      </c>
      <c r="AA266" s="375">
        <f t="shared" si="98"/>
      </c>
      <c r="AB266" s="377">
        <f t="shared" si="54"/>
        <v>1</v>
      </c>
      <c r="AC266" s="375" t="str">
        <f t="shared" si="55"/>
        <v> </v>
      </c>
      <c r="AD266" s="375" t="e">
        <f t="shared" si="56"/>
        <v>#N/A</v>
      </c>
      <c r="AE266" s="375" t="str">
        <f t="shared" si="57"/>
        <v> </v>
      </c>
      <c r="AF266" s="375" t="e">
        <f t="shared" si="94"/>
        <v>#N/A</v>
      </c>
      <c r="AG266" s="378" t="str">
        <f t="shared" si="58"/>
        <v> </v>
      </c>
      <c r="AH266" s="379" t="e">
        <f t="shared" si="59"/>
        <v>#VALUE!</v>
      </c>
      <c r="AI266" s="378" t="e">
        <f t="shared" si="91"/>
        <v>#VALUE!</v>
      </c>
      <c r="AJ266" s="375" t="e">
        <f t="shared" si="61"/>
        <v>#N/A</v>
      </c>
      <c r="AK266" s="375" t="e">
        <f>VLOOKUP(AJ266,'排出係数表'!$A$4:$C$202,2,FALSE)</f>
        <v>#N/A</v>
      </c>
      <c r="AL266" s="375" t="e">
        <f t="shared" si="95"/>
        <v>#N/A</v>
      </c>
      <c r="AM266" s="375" t="e">
        <f>VLOOKUP(AJ266,'排出係数表'!$A$4:$C$202,3,FALSE)</f>
        <v>#N/A</v>
      </c>
      <c r="AN266" s="375" t="e">
        <f t="shared" si="96"/>
        <v>#N/A</v>
      </c>
      <c r="AO266" s="375">
        <f t="shared" si="62"/>
      </c>
      <c r="AP266" s="379" t="str">
        <f t="shared" si="63"/>
        <v>-</v>
      </c>
      <c r="AQ266" s="375" t="e">
        <f t="shared" si="88"/>
        <v>#VALUE!</v>
      </c>
      <c r="AR266" s="375">
        <f t="shared" si="99"/>
      </c>
    </row>
    <row r="267" spans="1:44" s="380" customFormat="1" ht="13.5" customHeight="1">
      <c r="A267" s="375" t="str">
        <f>IF(ISBLANK(F267)=TRUE," ",IF(ISBLANK('様式2'!$C$23)=TRUE," ",'様式2'!$C$23))</f>
        <v> </v>
      </c>
      <c r="B267" s="375" t="e">
        <f>LOOKUP(LOOKUP(C267,'様式3'!$A$5:$A$44,'様式3'!$C$5:$C$44),'産業分類表'!$D$2:$D$68,'産業分類表'!$E$2:$E$68)</f>
        <v>#N/A</v>
      </c>
      <c r="C267" s="343"/>
      <c r="D267" s="343"/>
      <c r="E267" s="343"/>
      <c r="F267" s="343"/>
      <c r="G267" s="341"/>
      <c r="H267" s="349"/>
      <c r="I267" s="343"/>
      <c r="J267" s="343"/>
      <c r="K267" s="342"/>
      <c r="L267" s="350"/>
      <c r="M267" s="351"/>
      <c r="N267" s="343"/>
      <c r="O267" s="354">
        <f t="shared" si="89"/>
      </c>
      <c r="P267" s="354">
        <f t="shared" si="90"/>
      </c>
      <c r="Q267" s="389"/>
      <c r="R267" s="376">
        <f aca="true" t="shared" si="100" ref="R267:R303">IF(O267="","",IF(ISERROR(O267*AB267),"要確認",IF(ISBLANK(Q267)=TRUE,"要確認",IF(ISBLANK(O267)=TRUE,"要確認",O267*AB267*Q267/1000))))</f>
      </c>
      <c r="S267" s="376">
        <f aca="true" t="shared" si="101" ref="S267:S303">IF(P267="","",IF(ISERROR(P267*AB267),"要確認",IF(ISBLANK(Q267)=TRUE,"要確認",IF(ISBLANK(P267)=TRUE,"要確認",P267*AB267*Q267/1000))))</f>
      </c>
      <c r="T267" s="352"/>
      <c r="U267" s="353"/>
      <c r="V267" s="352"/>
      <c r="W267" s="343"/>
      <c r="X267" s="388">
        <f t="shared" si="97"/>
      </c>
      <c r="Y267" s="375" t="e">
        <f t="shared" si="92"/>
        <v>#N/A</v>
      </c>
      <c r="Z267" s="375" t="e">
        <f t="shared" si="93"/>
        <v>#N/A</v>
      </c>
      <c r="AA267" s="375">
        <f t="shared" si="98"/>
      </c>
      <c r="AB267" s="377">
        <f t="shared" si="54"/>
        <v>1</v>
      </c>
      <c r="AC267" s="375" t="str">
        <f t="shared" si="55"/>
        <v> </v>
      </c>
      <c r="AD267" s="375" t="e">
        <f t="shared" si="56"/>
        <v>#N/A</v>
      </c>
      <c r="AE267" s="375" t="str">
        <f t="shared" si="57"/>
        <v> </v>
      </c>
      <c r="AF267" s="375" t="e">
        <f t="shared" si="94"/>
        <v>#N/A</v>
      </c>
      <c r="AG267" s="378" t="str">
        <f t="shared" si="58"/>
        <v> </v>
      </c>
      <c r="AH267" s="379" t="e">
        <f t="shared" si="59"/>
        <v>#VALUE!</v>
      </c>
      <c r="AI267" s="378" t="e">
        <f t="shared" si="91"/>
        <v>#VALUE!</v>
      </c>
      <c r="AJ267" s="375" t="e">
        <f t="shared" si="61"/>
        <v>#N/A</v>
      </c>
      <c r="AK267" s="375" t="e">
        <f>VLOOKUP(AJ267,'排出係数表'!$A$4:$C$202,2,FALSE)</f>
        <v>#N/A</v>
      </c>
      <c r="AL267" s="375" t="e">
        <f t="shared" si="95"/>
        <v>#N/A</v>
      </c>
      <c r="AM267" s="375" t="e">
        <f>VLOOKUP(AJ267,'排出係数表'!$A$4:$C$202,3,FALSE)</f>
        <v>#N/A</v>
      </c>
      <c r="AN267" s="375" t="e">
        <f t="shared" si="96"/>
        <v>#N/A</v>
      </c>
      <c r="AO267" s="375">
        <f t="shared" si="62"/>
      </c>
      <c r="AP267" s="379" t="str">
        <f t="shared" si="63"/>
        <v>-</v>
      </c>
      <c r="AQ267" s="375" t="e">
        <f t="shared" si="88"/>
        <v>#VALUE!</v>
      </c>
      <c r="AR267" s="375">
        <f t="shared" si="99"/>
      </c>
    </row>
    <row r="268" spans="1:44" s="380" customFormat="1" ht="13.5" customHeight="1">
      <c r="A268" s="375" t="str">
        <f>IF(ISBLANK(F268)=TRUE," ",IF(ISBLANK('様式2'!$C$23)=TRUE," ",'様式2'!$C$23))</f>
        <v> </v>
      </c>
      <c r="B268" s="375" t="e">
        <f>LOOKUP(LOOKUP(C268,'様式3'!$A$5:$A$44,'様式3'!$C$5:$C$44),'産業分類表'!$D$2:$D$68,'産業分類表'!$E$2:$E$68)</f>
        <v>#N/A</v>
      </c>
      <c r="C268" s="343"/>
      <c r="D268" s="343"/>
      <c r="E268" s="343"/>
      <c r="F268" s="343"/>
      <c r="G268" s="341"/>
      <c r="H268" s="349"/>
      <c r="I268" s="343"/>
      <c r="J268" s="343"/>
      <c r="K268" s="342"/>
      <c r="L268" s="350"/>
      <c r="M268" s="351"/>
      <c r="N268" s="343"/>
      <c r="O268" s="354">
        <f t="shared" si="89"/>
      </c>
      <c r="P268" s="354">
        <f t="shared" si="90"/>
      </c>
      <c r="Q268" s="389"/>
      <c r="R268" s="376">
        <f t="shared" si="100"/>
      </c>
      <c r="S268" s="376">
        <f t="shared" si="101"/>
      </c>
      <c r="T268" s="352"/>
      <c r="U268" s="353"/>
      <c r="V268" s="352"/>
      <c r="W268" s="343"/>
      <c r="X268" s="388">
        <f t="shared" si="97"/>
      </c>
      <c r="Y268" s="375" t="e">
        <f t="shared" si="92"/>
        <v>#N/A</v>
      </c>
      <c r="Z268" s="375" t="e">
        <f t="shared" si="93"/>
        <v>#N/A</v>
      </c>
      <c r="AA268" s="375">
        <f t="shared" si="98"/>
      </c>
      <c r="AB268" s="377">
        <f t="shared" si="54"/>
        <v>1</v>
      </c>
      <c r="AC268" s="375" t="str">
        <f t="shared" si="55"/>
        <v> </v>
      </c>
      <c r="AD268" s="375" t="e">
        <f t="shared" si="56"/>
        <v>#N/A</v>
      </c>
      <c r="AE268" s="375" t="str">
        <f t="shared" si="57"/>
        <v> </v>
      </c>
      <c r="AF268" s="375" t="e">
        <f t="shared" si="94"/>
        <v>#N/A</v>
      </c>
      <c r="AG268" s="378" t="str">
        <f t="shared" si="58"/>
        <v> </v>
      </c>
      <c r="AH268" s="379" t="e">
        <f t="shared" si="59"/>
        <v>#VALUE!</v>
      </c>
      <c r="AI268" s="378" t="e">
        <f t="shared" si="91"/>
        <v>#VALUE!</v>
      </c>
      <c r="AJ268" s="375" t="e">
        <f t="shared" si="61"/>
        <v>#N/A</v>
      </c>
      <c r="AK268" s="375" t="e">
        <f>VLOOKUP(AJ268,'排出係数表'!$A$4:$C$202,2,FALSE)</f>
        <v>#N/A</v>
      </c>
      <c r="AL268" s="375" t="e">
        <f t="shared" si="95"/>
        <v>#N/A</v>
      </c>
      <c r="AM268" s="375" t="e">
        <f>VLOOKUP(AJ268,'排出係数表'!$A$4:$C$202,3,FALSE)</f>
        <v>#N/A</v>
      </c>
      <c r="AN268" s="375" t="e">
        <f t="shared" si="96"/>
        <v>#N/A</v>
      </c>
      <c r="AO268" s="375">
        <f t="shared" si="62"/>
      </c>
      <c r="AP268" s="379" t="str">
        <f t="shared" si="63"/>
        <v>-</v>
      </c>
      <c r="AQ268" s="375" t="e">
        <f aca="true" t="shared" si="102" ref="AQ268:AQ303">IF(ISBLANK(T268)=TRUE,AI268,IF(T268="減車","減車",IF(OR(V268="同車種",ISBLANK(V268)=TRUE),IF(ISBLANK(W268)=TRUE,Z268&amp;AE268,VALUE(LEFT(W268,2))&amp;Z268&amp;AE268),IF(ISBLANK(W268)=TRUE,V268,VALUE(LEFT(W268,2))&amp;V268))))</f>
        <v>#VALUE!</v>
      </c>
      <c r="AR268" s="375">
        <f t="shared" si="99"/>
      </c>
    </row>
    <row r="269" spans="1:44" s="380" customFormat="1" ht="13.5" customHeight="1">
      <c r="A269" s="375" t="str">
        <f>IF(ISBLANK(F269)=TRUE," ",IF(ISBLANK('様式2'!$C$23)=TRUE," ",'様式2'!$C$23))</f>
        <v> </v>
      </c>
      <c r="B269" s="375" t="e">
        <f>LOOKUP(LOOKUP(C269,'様式3'!$A$5:$A$44,'様式3'!$C$5:$C$44),'産業分類表'!$D$2:$D$68,'産業分類表'!$E$2:$E$68)</f>
        <v>#N/A</v>
      </c>
      <c r="C269" s="343"/>
      <c r="D269" s="343"/>
      <c r="E269" s="343"/>
      <c r="F269" s="343"/>
      <c r="G269" s="341"/>
      <c r="H269" s="349"/>
      <c r="I269" s="343"/>
      <c r="J269" s="343"/>
      <c r="K269" s="342"/>
      <c r="L269" s="350"/>
      <c r="M269" s="351"/>
      <c r="N269" s="343"/>
      <c r="O269" s="354">
        <f t="shared" si="89"/>
      </c>
      <c r="P269" s="354">
        <f t="shared" si="90"/>
      </c>
      <c r="Q269" s="389"/>
      <c r="R269" s="376">
        <f t="shared" si="100"/>
      </c>
      <c r="S269" s="376">
        <f t="shared" si="101"/>
      </c>
      <c r="T269" s="352"/>
      <c r="U269" s="353"/>
      <c r="V269" s="352"/>
      <c r="W269" s="343"/>
      <c r="X269" s="388">
        <f t="shared" si="97"/>
      </c>
      <c r="Y269" s="375" t="e">
        <f t="shared" si="92"/>
        <v>#N/A</v>
      </c>
      <c r="Z269" s="375" t="e">
        <f t="shared" si="93"/>
        <v>#N/A</v>
      </c>
      <c r="AA269" s="375">
        <f t="shared" si="98"/>
      </c>
      <c r="AB269" s="377">
        <f t="shared" si="54"/>
        <v>1</v>
      </c>
      <c r="AC269" s="375" t="str">
        <f t="shared" si="55"/>
        <v> </v>
      </c>
      <c r="AD269" s="375" t="e">
        <f t="shared" si="56"/>
        <v>#N/A</v>
      </c>
      <c r="AE269" s="375" t="str">
        <f t="shared" si="57"/>
        <v> </v>
      </c>
      <c r="AF269" s="375" t="e">
        <f t="shared" si="94"/>
        <v>#N/A</v>
      </c>
      <c r="AG269" s="378" t="str">
        <f t="shared" si="58"/>
        <v> </v>
      </c>
      <c r="AH269" s="379" t="e">
        <f t="shared" si="59"/>
        <v>#VALUE!</v>
      </c>
      <c r="AI269" s="378" t="e">
        <f t="shared" si="91"/>
        <v>#VALUE!</v>
      </c>
      <c r="AJ269" s="375" t="e">
        <f t="shared" si="61"/>
        <v>#N/A</v>
      </c>
      <c r="AK269" s="375" t="e">
        <f>VLOOKUP(AJ269,'排出係数表'!$A$4:$C$202,2,FALSE)</f>
        <v>#N/A</v>
      </c>
      <c r="AL269" s="375" t="e">
        <f t="shared" si="95"/>
        <v>#N/A</v>
      </c>
      <c r="AM269" s="375" t="e">
        <f>VLOOKUP(AJ269,'排出係数表'!$A$4:$C$202,3,FALSE)</f>
        <v>#N/A</v>
      </c>
      <c r="AN269" s="375" t="e">
        <f t="shared" si="96"/>
        <v>#N/A</v>
      </c>
      <c r="AO269" s="375">
        <f t="shared" si="62"/>
      </c>
      <c r="AP269" s="379" t="str">
        <f t="shared" si="63"/>
        <v>-</v>
      </c>
      <c r="AQ269" s="375" t="e">
        <f t="shared" si="102"/>
        <v>#VALUE!</v>
      </c>
      <c r="AR269" s="375">
        <f t="shared" si="99"/>
      </c>
    </row>
    <row r="270" spans="1:44" s="380" customFormat="1" ht="13.5" customHeight="1">
      <c r="A270" s="375" t="str">
        <f>IF(ISBLANK(F270)=TRUE," ",IF(ISBLANK('様式2'!$C$23)=TRUE," ",'様式2'!$C$23))</f>
        <v> </v>
      </c>
      <c r="B270" s="375" t="e">
        <f>LOOKUP(LOOKUP(C270,'様式3'!$A$5:$A$44,'様式3'!$C$5:$C$44),'産業分類表'!$D$2:$D$68,'産業分類表'!$E$2:$E$68)</f>
        <v>#N/A</v>
      </c>
      <c r="C270" s="343"/>
      <c r="D270" s="343"/>
      <c r="E270" s="343"/>
      <c r="F270" s="343"/>
      <c r="G270" s="341"/>
      <c r="H270" s="349"/>
      <c r="I270" s="343"/>
      <c r="J270" s="343"/>
      <c r="K270" s="342"/>
      <c r="L270" s="350"/>
      <c r="M270" s="351"/>
      <c r="N270" s="343"/>
      <c r="O270" s="354">
        <f t="shared" si="89"/>
      </c>
      <c r="P270" s="354">
        <f t="shared" si="90"/>
      </c>
      <c r="Q270" s="389"/>
      <c r="R270" s="376">
        <f t="shared" si="100"/>
      </c>
      <c r="S270" s="376">
        <f t="shared" si="101"/>
      </c>
      <c r="T270" s="352"/>
      <c r="U270" s="353"/>
      <c r="V270" s="352"/>
      <c r="W270" s="343"/>
      <c r="X270" s="388">
        <f t="shared" si="97"/>
      </c>
      <c r="Y270" s="375" t="e">
        <f t="shared" si="92"/>
        <v>#N/A</v>
      </c>
      <c r="Z270" s="375" t="e">
        <f t="shared" si="93"/>
        <v>#N/A</v>
      </c>
      <c r="AA270" s="375">
        <f t="shared" si="98"/>
      </c>
      <c r="AB270" s="377">
        <f t="shared" si="54"/>
        <v>1</v>
      </c>
      <c r="AC270" s="375" t="str">
        <f t="shared" si="55"/>
        <v> </v>
      </c>
      <c r="AD270" s="375" t="e">
        <f t="shared" si="56"/>
        <v>#N/A</v>
      </c>
      <c r="AE270" s="375" t="str">
        <f t="shared" si="57"/>
        <v> </v>
      </c>
      <c r="AF270" s="375" t="e">
        <f t="shared" si="94"/>
        <v>#N/A</v>
      </c>
      <c r="AG270" s="378" t="str">
        <f t="shared" si="58"/>
        <v> </v>
      </c>
      <c r="AH270" s="379" t="e">
        <f t="shared" si="59"/>
        <v>#VALUE!</v>
      </c>
      <c r="AI270" s="378" t="e">
        <f t="shared" si="91"/>
        <v>#VALUE!</v>
      </c>
      <c r="AJ270" s="375" t="e">
        <f t="shared" si="61"/>
        <v>#N/A</v>
      </c>
      <c r="AK270" s="375" t="e">
        <f>VLOOKUP(AJ270,'排出係数表'!$A$4:$C$202,2,FALSE)</f>
        <v>#N/A</v>
      </c>
      <c r="AL270" s="375" t="e">
        <f t="shared" si="95"/>
        <v>#N/A</v>
      </c>
      <c r="AM270" s="375" t="e">
        <f>VLOOKUP(AJ270,'排出係数表'!$A$4:$C$202,3,FALSE)</f>
        <v>#N/A</v>
      </c>
      <c r="AN270" s="375" t="e">
        <f t="shared" si="96"/>
        <v>#N/A</v>
      </c>
      <c r="AO270" s="375">
        <f t="shared" si="62"/>
      </c>
      <c r="AP270" s="379" t="str">
        <f t="shared" si="63"/>
        <v>-</v>
      </c>
      <c r="AQ270" s="375" t="e">
        <f t="shared" si="102"/>
        <v>#VALUE!</v>
      </c>
      <c r="AR270" s="375">
        <f t="shared" si="99"/>
      </c>
    </row>
    <row r="271" spans="1:44" s="380" customFormat="1" ht="13.5" customHeight="1">
      <c r="A271" s="375" t="str">
        <f>IF(ISBLANK(F271)=TRUE," ",IF(ISBLANK('様式2'!$C$23)=TRUE," ",'様式2'!$C$23))</f>
        <v> </v>
      </c>
      <c r="B271" s="375" t="e">
        <f>LOOKUP(LOOKUP(C271,'様式3'!$A$5:$A$44,'様式3'!$C$5:$C$44),'産業分類表'!$D$2:$D$68,'産業分類表'!$E$2:$E$68)</f>
        <v>#N/A</v>
      </c>
      <c r="C271" s="343"/>
      <c r="D271" s="343"/>
      <c r="E271" s="343"/>
      <c r="F271" s="343"/>
      <c r="G271" s="341"/>
      <c r="H271" s="349"/>
      <c r="I271" s="343"/>
      <c r="J271" s="343"/>
      <c r="K271" s="342"/>
      <c r="L271" s="350"/>
      <c r="M271" s="351"/>
      <c r="N271" s="343"/>
      <c r="O271" s="354">
        <f t="shared" si="89"/>
      </c>
      <c r="P271" s="354">
        <f t="shared" si="90"/>
      </c>
      <c r="Q271" s="389"/>
      <c r="R271" s="376">
        <f t="shared" si="100"/>
      </c>
      <c r="S271" s="376">
        <f t="shared" si="101"/>
      </c>
      <c r="T271" s="352"/>
      <c r="U271" s="353"/>
      <c r="V271" s="352"/>
      <c r="W271" s="343"/>
      <c r="X271" s="388">
        <f t="shared" si="97"/>
      </c>
      <c r="Y271" s="375" t="e">
        <f t="shared" si="92"/>
        <v>#N/A</v>
      </c>
      <c r="Z271" s="375" t="e">
        <f t="shared" si="93"/>
        <v>#N/A</v>
      </c>
      <c r="AA271" s="375">
        <f t="shared" si="98"/>
      </c>
      <c r="AB271" s="377">
        <f t="shared" si="54"/>
        <v>1</v>
      </c>
      <c r="AC271" s="375" t="str">
        <f t="shared" si="55"/>
        <v> </v>
      </c>
      <c r="AD271" s="375" t="e">
        <f t="shared" si="56"/>
        <v>#N/A</v>
      </c>
      <c r="AE271" s="375" t="str">
        <f t="shared" si="57"/>
        <v> </v>
      </c>
      <c r="AF271" s="375" t="e">
        <f t="shared" si="94"/>
        <v>#N/A</v>
      </c>
      <c r="AG271" s="378" t="str">
        <f t="shared" si="58"/>
        <v> </v>
      </c>
      <c r="AH271" s="379" t="e">
        <f t="shared" si="59"/>
        <v>#VALUE!</v>
      </c>
      <c r="AI271" s="378" t="e">
        <f t="shared" si="91"/>
        <v>#VALUE!</v>
      </c>
      <c r="AJ271" s="375" t="e">
        <f t="shared" si="61"/>
        <v>#N/A</v>
      </c>
      <c r="AK271" s="375" t="e">
        <f>VLOOKUP(AJ271,'排出係数表'!$A$4:$C$202,2,FALSE)</f>
        <v>#N/A</v>
      </c>
      <c r="AL271" s="375" t="e">
        <f t="shared" si="95"/>
        <v>#N/A</v>
      </c>
      <c r="AM271" s="375" t="e">
        <f>VLOOKUP(AJ271,'排出係数表'!$A$4:$C$202,3,FALSE)</f>
        <v>#N/A</v>
      </c>
      <c r="AN271" s="375" t="e">
        <f t="shared" si="96"/>
        <v>#N/A</v>
      </c>
      <c r="AO271" s="375">
        <f t="shared" si="62"/>
      </c>
      <c r="AP271" s="379" t="str">
        <f t="shared" si="63"/>
        <v>-</v>
      </c>
      <c r="AQ271" s="375" t="e">
        <f t="shared" si="102"/>
        <v>#VALUE!</v>
      </c>
      <c r="AR271" s="375">
        <f t="shared" si="99"/>
      </c>
    </row>
    <row r="272" spans="1:44" s="380" customFormat="1" ht="13.5" customHeight="1">
      <c r="A272" s="375" t="str">
        <f>IF(ISBLANK(F272)=TRUE," ",IF(ISBLANK('様式2'!$C$23)=TRUE," ",'様式2'!$C$23))</f>
        <v> </v>
      </c>
      <c r="B272" s="375" t="e">
        <f>LOOKUP(LOOKUP(C272,'様式3'!$A$5:$A$44,'様式3'!$C$5:$C$44),'産業分類表'!$D$2:$D$68,'産業分類表'!$E$2:$E$68)</f>
        <v>#N/A</v>
      </c>
      <c r="C272" s="343"/>
      <c r="D272" s="343"/>
      <c r="E272" s="343"/>
      <c r="F272" s="343"/>
      <c r="G272" s="341"/>
      <c r="H272" s="349"/>
      <c r="I272" s="343"/>
      <c r="J272" s="343"/>
      <c r="K272" s="342"/>
      <c r="L272" s="350"/>
      <c r="M272" s="351"/>
      <c r="N272" s="343"/>
      <c r="O272" s="354">
        <f t="shared" si="89"/>
      </c>
      <c r="P272" s="354">
        <f t="shared" si="90"/>
      </c>
      <c r="Q272" s="389"/>
      <c r="R272" s="376">
        <f t="shared" si="100"/>
      </c>
      <c r="S272" s="376">
        <f t="shared" si="101"/>
      </c>
      <c r="T272" s="352"/>
      <c r="U272" s="353"/>
      <c r="V272" s="352"/>
      <c r="W272" s="343"/>
      <c r="X272" s="388">
        <f t="shared" si="97"/>
      </c>
      <c r="Y272" s="375" t="e">
        <f t="shared" si="92"/>
        <v>#N/A</v>
      </c>
      <c r="Z272" s="375" t="e">
        <f t="shared" si="93"/>
        <v>#N/A</v>
      </c>
      <c r="AA272" s="375">
        <f t="shared" si="98"/>
      </c>
      <c r="AB272" s="377">
        <f t="shared" si="54"/>
        <v>1</v>
      </c>
      <c r="AC272" s="375" t="str">
        <f t="shared" si="55"/>
        <v> </v>
      </c>
      <c r="AD272" s="375" t="e">
        <f t="shared" si="56"/>
        <v>#N/A</v>
      </c>
      <c r="AE272" s="375" t="str">
        <f t="shared" si="57"/>
        <v> </v>
      </c>
      <c r="AF272" s="375" t="e">
        <f t="shared" si="94"/>
        <v>#N/A</v>
      </c>
      <c r="AG272" s="378" t="str">
        <f t="shared" si="58"/>
        <v> </v>
      </c>
      <c r="AH272" s="379" t="e">
        <f t="shared" si="59"/>
        <v>#VALUE!</v>
      </c>
      <c r="AI272" s="378" t="e">
        <f t="shared" si="91"/>
        <v>#VALUE!</v>
      </c>
      <c r="AJ272" s="375" t="e">
        <f t="shared" si="61"/>
        <v>#N/A</v>
      </c>
      <c r="AK272" s="375" t="e">
        <f>VLOOKUP(AJ272,'排出係数表'!$A$4:$C$202,2,FALSE)</f>
        <v>#N/A</v>
      </c>
      <c r="AL272" s="375" t="e">
        <f t="shared" si="95"/>
        <v>#N/A</v>
      </c>
      <c r="AM272" s="375" t="e">
        <f>VLOOKUP(AJ272,'排出係数表'!$A$4:$C$202,3,FALSE)</f>
        <v>#N/A</v>
      </c>
      <c r="AN272" s="375" t="e">
        <f t="shared" si="96"/>
        <v>#N/A</v>
      </c>
      <c r="AO272" s="375">
        <f t="shared" si="62"/>
      </c>
      <c r="AP272" s="379" t="str">
        <f t="shared" si="63"/>
        <v>-</v>
      </c>
      <c r="AQ272" s="375" t="e">
        <f t="shared" si="102"/>
        <v>#VALUE!</v>
      </c>
      <c r="AR272" s="375">
        <f t="shared" si="99"/>
      </c>
    </row>
    <row r="273" spans="1:44" s="380" customFormat="1" ht="13.5" customHeight="1">
      <c r="A273" s="375" t="str">
        <f>IF(ISBLANK(F273)=TRUE," ",IF(ISBLANK('様式2'!$C$23)=TRUE," ",'様式2'!$C$23))</f>
        <v> </v>
      </c>
      <c r="B273" s="375" t="e">
        <f>LOOKUP(LOOKUP(C273,'様式3'!$A$5:$A$44,'様式3'!$C$5:$C$44),'産業分類表'!$D$2:$D$68,'産業分類表'!$E$2:$E$68)</f>
        <v>#N/A</v>
      </c>
      <c r="C273" s="343"/>
      <c r="D273" s="343"/>
      <c r="E273" s="343"/>
      <c r="F273" s="343"/>
      <c r="G273" s="341"/>
      <c r="H273" s="349"/>
      <c r="I273" s="343"/>
      <c r="J273" s="343"/>
      <c r="K273" s="342"/>
      <c r="L273" s="350"/>
      <c r="M273" s="351"/>
      <c r="N273" s="343"/>
      <c r="O273" s="354">
        <f t="shared" si="89"/>
      </c>
      <c r="P273" s="354">
        <f t="shared" si="90"/>
      </c>
      <c r="Q273" s="389"/>
      <c r="R273" s="376">
        <f t="shared" si="100"/>
      </c>
      <c r="S273" s="376">
        <f t="shared" si="101"/>
      </c>
      <c r="T273" s="352"/>
      <c r="U273" s="353"/>
      <c r="V273" s="352"/>
      <c r="W273" s="343"/>
      <c r="X273" s="388">
        <f t="shared" si="97"/>
      </c>
      <c r="Y273" s="375" t="e">
        <f t="shared" si="92"/>
        <v>#N/A</v>
      </c>
      <c r="Z273" s="375" t="e">
        <f t="shared" si="93"/>
        <v>#N/A</v>
      </c>
      <c r="AA273" s="375">
        <f t="shared" si="98"/>
      </c>
      <c r="AB273" s="377">
        <f t="shared" si="54"/>
        <v>1</v>
      </c>
      <c r="AC273" s="375" t="str">
        <f t="shared" si="55"/>
        <v> </v>
      </c>
      <c r="AD273" s="375" t="e">
        <f t="shared" si="56"/>
        <v>#N/A</v>
      </c>
      <c r="AE273" s="375" t="str">
        <f t="shared" si="57"/>
        <v> </v>
      </c>
      <c r="AF273" s="375" t="e">
        <f t="shared" si="94"/>
        <v>#N/A</v>
      </c>
      <c r="AG273" s="378" t="str">
        <f t="shared" si="58"/>
        <v> </v>
      </c>
      <c r="AH273" s="379" t="e">
        <f t="shared" si="59"/>
        <v>#VALUE!</v>
      </c>
      <c r="AI273" s="378" t="e">
        <f t="shared" si="91"/>
        <v>#VALUE!</v>
      </c>
      <c r="AJ273" s="375" t="e">
        <f t="shared" si="61"/>
        <v>#N/A</v>
      </c>
      <c r="AK273" s="375" t="e">
        <f>VLOOKUP(AJ273,'排出係数表'!$A$4:$C$202,2,FALSE)</f>
        <v>#N/A</v>
      </c>
      <c r="AL273" s="375" t="e">
        <f t="shared" si="95"/>
        <v>#N/A</v>
      </c>
      <c r="AM273" s="375" t="e">
        <f>VLOOKUP(AJ273,'排出係数表'!$A$4:$C$202,3,FALSE)</f>
        <v>#N/A</v>
      </c>
      <c r="AN273" s="375" t="e">
        <f t="shared" si="96"/>
        <v>#N/A</v>
      </c>
      <c r="AO273" s="375">
        <f t="shared" si="62"/>
      </c>
      <c r="AP273" s="379" t="str">
        <f t="shared" si="63"/>
        <v>-</v>
      </c>
      <c r="AQ273" s="375" t="e">
        <f t="shared" si="102"/>
        <v>#VALUE!</v>
      </c>
      <c r="AR273" s="375">
        <f t="shared" si="99"/>
      </c>
    </row>
    <row r="274" spans="1:44" s="380" customFormat="1" ht="13.5" customHeight="1">
      <c r="A274" s="375" t="str">
        <f>IF(ISBLANK(F274)=TRUE," ",IF(ISBLANK('様式2'!$C$23)=TRUE," ",'様式2'!$C$23))</f>
        <v> </v>
      </c>
      <c r="B274" s="375" t="e">
        <f>LOOKUP(LOOKUP(C274,'様式3'!$A$5:$A$44,'様式3'!$C$5:$C$44),'産業分類表'!$D$2:$D$68,'産業分類表'!$E$2:$E$68)</f>
        <v>#N/A</v>
      </c>
      <c r="C274" s="343"/>
      <c r="D274" s="343"/>
      <c r="E274" s="343"/>
      <c r="F274" s="343"/>
      <c r="G274" s="341"/>
      <c r="H274" s="349"/>
      <c r="I274" s="343"/>
      <c r="J274" s="343"/>
      <c r="K274" s="342"/>
      <c r="L274" s="350"/>
      <c r="M274" s="351"/>
      <c r="N274" s="343"/>
      <c r="O274" s="354">
        <f t="shared" si="89"/>
      </c>
      <c r="P274" s="354">
        <f t="shared" si="90"/>
      </c>
      <c r="Q274" s="389"/>
      <c r="R274" s="376">
        <f t="shared" si="100"/>
      </c>
      <c r="S274" s="376">
        <f t="shared" si="101"/>
      </c>
      <c r="T274" s="352"/>
      <c r="U274" s="353"/>
      <c r="V274" s="352"/>
      <c r="W274" s="343"/>
      <c r="X274" s="388">
        <f t="shared" si="97"/>
      </c>
      <c r="Y274" s="375" t="e">
        <f t="shared" si="92"/>
        <v>#N/A</v>
      </c>
      <c r="Z274" s="375" t="e">
        <f t="shared" si="93"/>
        <v>#N/A</v>
      </c>
      <c r="AA274" s="375">
        <f t="shared" si="98"/>
      </c>
      <c r="AB274" s="377">
        <f t="shared" si="54"/>
        <v>1</v>
      </c>
      <c r="AC274" s="375" t="str">
        <f t="shared" si="55"/>
        <v> </v>
      </c>
      <c r="AD274" s="375" t="e">
        <f t="shared" si="56"/>
        <v>#N/A</v>
      </c>
      <c r="AE274" s="375" t="str">
        <f t="shared" si="57"/>
        <v> </v>
      </c>
      <c r="AF274" s="375" t="e">
        <f t="shared" si="94"/>
        <v>#N/A</v>
      </c>
      <c r="AG274" s="378" t="str">
        <f t="shared" si="58"/>
        <v> </v>
      </c>
      <c r="AH274" s="379" t="e">
        <f t="shared" si="59"/>
        <v>#VALUE!</v>
      </c>
      <c r="AI274" s="378" t="e">
        <f t="shared" si="91"/>
        <v>#VALUE!</v>
      </c>
      <c r="AJ274" s="375" t="e">
        <f t="shared" si="61"/>
        <v>#N/A</v>
      </c>
      <c r="AK274" s="375" t="e">
        <f>VLOOKUP(AJ274,'排出係数表'!$A$4:$C$202,2,FALSE)</f>
        <v>#N/A</v>
      </c>
      <c r="AL274" s="375" t="e">
        <f t="shared" si="95"/>
        <v>#N/A</v>
      </c>
      <c r="AM274" s="375" t="e">
        <f>VLOOKUP(AJ274,'排出係数表'!$A$4:$C$202,3,FALSE)</f>
        <v>#N/A</v>
      </c>
      <c r="AN274" s="375" t="e">
        <f t="shared" si="96"/>
        <v>#N/A</v>
      </c>
      <c r="AO274" s="375">
        <f t="shared" si="62"/>
      </c>
      <c r="AP274" s="379" t="str">
        <f t="shared" si="63"/>
        <v>-</v>
      </c>
      <c r="AQ274" s="375" t="e">
        <f t="shared" si="102"/>
        <v>#VALUE!</v>
      </c>
      <c r="AR274" s="375">
        <f t="shared" si="99"/>
      </c>
    </row>
    <row r="275" spans="1:44" s="380" customFormat="1" ht="13.5" customHeight="1">
      <c r="A275" s="375" t="str">
        <f>IF(ISBLANK(F275)=TRUE," ",IF(ISBLANK('様式2'!$C$23)=TRUE," ",'様式2'!$C$23))</f>
        <v> </v>
      </c>
      <c r="B275" s="375" t="e">
        <f>LOOKUP(LOOKUP(C275,'様式3'!$A$5:$A$44,'様式3'!$C$5:$C$44),'産業分類表'!$D$2:$D$68,'産業分類表'!$E$2:$E$68)</f>
        <v>#N/A</v>
      </c>
      <c r="C275" s="343"/>
      <c r="D275" s="343"/>
      <c r="E275" s="343"/>
      <c r="F275" s="343"/>
      <c r="G275" s="341"/>
      <c r="H275" s="349"/>
      <c r="I275" s="343"/>
      <c r="J275" s="343"/>
      <c r="K275" s="342"/>
      <c r="L275" s="350"/>
      <c r="M275" s="351"/>
      <c r="N275" s="343"/>
      <c r="O275" s="354">
        <f aca="true" t="shared" si="103" ref="O275:O303">IF(ISBLANK(J275)=TRUE,"",IF(AF275="メ","要確認",IF(ISBLANK(M275)=TRUE,IF(ISNUMBER(AK275*AL275)=TRUE,AK275*AL275,"要確認"),"要確認")))</f>
      </c>
      <c r="P275" s="354">
        <f aca="true" t="shared" si="104" ref="P275:P303">IF(ISBLANK(J275)=TRUE,"",IF(AF275="メ","要確認",IF(ISBLANK(N275)=TRUE,IF(ISNUMBER(AM275*AN275)=TRUE,AM275*AN275,"要確認"),"要確認")))</f>
      </c>
      <c r="Q275" s="389"/>
      <c r="R275" s="376">
        <f t="shared" si="100"/>
      </c>
      <c r="S275" s="376">
        <f t="shared" si="101"/>
      </c>
      <c r="T275" s="352"/>
      <c r="U275" s="353"/>
      <c r="V275" s="352"/>
      <c r="W275" s="343"/>
      <c r="X275" s="388">
        <f t="shared" si="97"/>
      </c>
      <c r="Y275" s="375" t="e">
        <f t="shared" si="92"/>
        <v>#N/A</v>
      </c>
      <c r="Z275" s="375" t="e">
        <f t="shared" si="93"/>
        <v>#N/A</v>
      </c>
      <c r="AA275" s="375">
        <f t="shared" si="98"/>
      </c>
      <c r="AB275" s="377">
        <f t="shared" si="54"/>
        <v>1</v>
      </c>
      <c r="AC275" s="375" t="str">
        <f t="shared" si="55"/>
        <v> </v>
      </c>
      <c r="AD275" s="375" t="e">
        <f t="shared" si="56"/>
        <v>#N/A</v>
      </c>
      <c r="AE275" s="375" t="str">
        <f t="shared" si="57"/>
        <v> </v>
      </c>
      <c r="AF275" s="375" t="e">
        <f t="shared" si="94"/>
        <v>#N/A</v>
      </c>
      <c r="AG275" s="378" t="str">
        <f t="shared" si="58"/>
        <v> </v>
      </c>
      <c r="AH275" s="379" t="e">
        <f t="shared" si="59"/>
        <v>#VALUE!</v>
      </c>
      <c r="AI275" s="378" t="e">
        <f t="shared" si="91"/>
        <v>#VALUE!</v>
      </c>
      <c r="AJ275" s="375" t="e">
        <f t="shared" si="61"/>
        <v>#N/A</v>
      </c>
      <c r="AK275" s="375" t="e">
        <f>VLOOKUP(AJ275,'排出係数表'!$A$4:$C$202,2,FALSE)</f>
        <v>#N/A</v>
      </c>
      <c r="AL275" s="375" t="e">
        <f t="shared" si="95"/>
        <v>#N/A</v>
      </c>
      <c r="AM275" s="375" t="e">
        <f>VLOOKUP(AJ275,'排出係数表'!$A$4:$C$202,3,FALSE)</f>
        <v>#N/A</v>
      </c>
      <c r="AN275" s="375" t="e">
        <f t="shared" si="96"/>
        <v>#N/A</v>
      </c>
      <c r="AO275" s="375">
        <f t="shared" si="62"/>
      </c>
      <c r="AP275" s="379" t="str">
        <f t="shared" si="63"/>
        <v>-</v>
      </c>
      <c r="AQ275" s="375" t="e">
        <f t="shared" si="102"/>
        <v>#VALUE!</v>
      </c>
      <c r="AR275" s="375">
        <f t="shared" si="99"/>
      </c>
    </row>
    <row r="276" spans="1:44" s="380" customFormat="1" ht="13.5" customHeight="1">
      <c r="A276" s="375" t="str">
        <f>IF(ISBLANK(F276)=TRUE," ",IF(ISBLANK('様式2'!$C$23)=TRUE," ",'様式2'!$C$23))</f>
        <v> </v>
      </c>
      <c r="B276" s="375" t="e">
        <f>LOOKUP(LOOKUP(C276,'様式3'!$A$5:$A$44,'様式3'!$C$5:$C$44),'産業分類表'!$D$2:$D$68,'産業分類表'!$E$2:$E$68)</f>
        <v>#N/A</v>
      </c>
      <c r="C276" s="343"/>
      <c r="D276" s="343"/>
      <c r="E276" s="343"/>
      <c r="F276" s="343"/>
      <c r="G276" s="341"/>
      <c r="H276" s="349"/>
      <c r="I276" s="343"/>
      <c r="J276" s="343"/>
      <c r="K276" s="342"/>
      <c r="L276" s="350"/>
      <c r="M276" s="351"/>
      <c r="N276" s="343"/>
      <c r="O276" s="354">
        <f t="shared" si="103"/>
      </c>
      <c r="P276" s="354">
        <f t="shared" si="104"/>
      </c>
      <c r="Q276" s="389"/>
      <c r="R276" s="376">
        <f t="shared" si="100"/>
      </c>
      <c r="S276" s="376">
        <f t="shared" si="101"/>
      </c>
      <c r="T276" s="352"/>
      <c r="U276" s="353"/>
      <c r="V276" s="352"/>
      <c r="W276" s="343"/>
      <c r="X276" s="388">
        <f t="shared" si="97"/>
      </c>
      <c r="Y276" s="375" t="e">
        <f t="shared" si="92"/>
        <v>#N/A</v>
      </c>
      <c r="Z276" s="375" t="e">
        <f t="shared" si="93"/>
        <v>#N/A</v>
      </c>
      <c r="AA276" s="375">
        <f t="shared" si="98"/>
      </c>
      <c r="AB276" s="377">
        <f t="shared" si="54"/>
        <v>1</v>
      </c>
      <c r="AC276" s="375" t="str">
        <f t="shared" si="55"/>
        <v> </v>
      </c>
      <c r="AD276" s="375" t="e">
        <f t="shared" si="56"/>
        <v>#N/A</v>
      </c>
      <c r="AE276" s="375" t="str">
        <f t="shared" si="57"/>
        <v> </v>
      </c>
      <c r="AF276" s="375" t="e">
        <f t="shared" si="94"/>
        <v>#N/A</v>
      </c>
      <c r="AG276" s="378" t="str">
        <f t="shared" si="58"/>
        <v> </v>
      </c>
      <c r="AH276" s="379" t="e">
        <f t="shared" si="59"/>
        <v>#VALUE!</v>
      </c>
      <c r="AI276" s="378" t="e">
        <f t="shared" si="91"/>
        <v>#VALUE!</v>
      </c>
      <c r="AJ276" s="375" t="e">
        <f t="shared" si="61"/>
        <v>#N/A</v>
      </c>
      <c r="AK276" s="375" t="e">
        <f>VLOOKUP(AJ276,'排出係数表'!$A$4:$C$202,2,FALSE)</f>
        <v>#N/A</v>
      </c>
      <c r="AL276" s="375" t="e">
        <f t="shared" si="95"/>
        <v>#N/A</v>
      </c>
      <c r="AM276" s="375" t="e">
        <f>VLOOKUP(AJ276,'排出係数表'!$A$4:$C$202,3,FALSE)</f>
        <v>#N/A</v>
      </c>
      <c r="AN276" s="375" t="e">
        <f t="shared" si="96"/>
        <v>#N/A</v>
      </c>
      <c r="AO276" s="375">
        <f t="shared" si="62"/>
      </c>
      <c r="AP276" s="379" t="str">
        <f t="shared" si="63"/>
        <v>-</v>
      </c>
      <c r="AQ276" s="375" t="e">
        <f t="shared" si="102"/>
        <v>#VALUE!</v>
      </c>
      <c r="AR276" s="375">
        <f t="shared" si="99"/>
      </c>
    </row>
    <row r="277" spans="1:44" s="380" customFormat="1" ht="13.5" customHeight="1">
      <c r="A277" s="375" t="str">
        <f>IF(ISBLANK(F277)=TRUE," ",IF(ISBLANK('様式2'!$C$23)=TRUE," ",'様式2'!$C$23))</f>
        <v> </v>
      </c>
      <c r="B277" s="375" t="e">
        <f>LOOKUP(LOOKUP(C277,'様式3'!$A$5:$A$44,'様式3'!$C$5:$C$44),'産業分類表'!$D$2:$D$68,'産業分類表'!$E$2:$E$68)</f>
        <v>#N/A</v>
      </c>
      <c r="C277" s="343"/>
      <c r="D277" s="343"/>
      <c r="E277" s="343"/>
      <c r="F277" s="343"/>
      <c r="G277" s="341"/>
      <c r="H277" s="349"/>
      <c r="I277" s="343"/>
      <c r="J277" s="343"/>
      <c r="K277" s="342"/>
      <c r="L277" s="350"/>
      <c r="M277" s="351"/>
      <c r="N277" s="343"/>
      <c r="O277" s="354">
        <f t="shared" si="103"/>
      </c>
      <c r="P277" s="354">
        <f t="shared" si="104"/>
      </c>
      <c r="Q277" s="389"/>
      <c r="R277" s="376">
        <f t="shared" si="100"/>
      </c>
      <c r="S277" s="376">
        <f t="shared" si="101"/>
      </c>
      <c r="T277" s="352"/>
      <c r="U277" s="353"/>
      <c r="V277" s="352"/>
      <c r="W277" s="343"/>
      <c r="X277" s="388">
        <f t="shared" si="97"/>
      </c>
      <c r="Y277" s="375" t="e">
        <f t="shared" si="92"/>
        <v>#N/A</v>
      </c>
      <c r="Z277" s="375" t="e">
        <f t="shared" si="93"/>
        <v>#N/A</v>
      </c>
      <c r="AA277" s="375">
        <f t="shared" si="98"/>
      </c>
      <c r="AB277" s="377">
        <f t="shared" si="54"/>
        <v>1</v>
      </c>
      <c r="AC277" s="375" t="str">
        <f t="shared" si="55"/>
        <v> </v>
      </c>
      <c r="AD277" s="375" t="e">
        <f t="shared" si="56"/>
        <v>#N/A</v>
      </c>
      <c r="AE277" s="375" t="str">
        <f t="shared" si="57"/>
        <v> </v>
      </c>
      <c r="AF277" s="375" t="e">
        <f t="shared" si="94"/>
        <v>#N/A</v>
      </c>
      <c r="AG277" s="378" t="str">
        <f t="shared" si="58"/>
        <v> </v>
      </c>
      <c r="AH277" s="379" t="e">
        <f t="shared" si="59"/>
        <v>#VALUE!</v>
      </c>
      <c r="AI277" s="378" t="e">
        <f t="shared" si="91"/>
        <v>#VALUE!</v>
      </c>
      <c r="AJ277" s="375" t="e">
        <f t="shared" si="61"/>
        <v>#N/A</v>
      </c>
      <c r="AK277" s="375" t="e">
        <f>VLOOKUP(AJ277,'排出係数表'!$A$4:$C$202,2,FALSE)</f>
        <v>#N/A</v>
      </c>
      <c r="AL277" s="375" t="e">
        <f t="shared" si="95"/>
        <v>#N/A</v>
      </c>
      <c r="AM277" s="375" t="e">
        <f>VLOOKUP(AJ277,'排出係数表'!$A$4:$C$202,3,FALSE)</f>
        <v>#N/A</v>
      </c>
      <c r="AN277" s="375" t="e">
        <f t="shared" si="96"/>
        <v>#N/A</v>
      </c>
      <c r="AO277" s="375">
        <f t="shared" si="62"/>
      </c>
      <c r="AP277" s="379" t="str">
        <f t="shared" si="63"/>
        <v>-</v>
      </c>
      <c r="AQ277" s="375" t="e">
        <f t="shared" si="102"/>
        <v>#VALUE!</v>
      </c>
      <c r="AR277" s="375">
        <f t="shared" si="99"/>
      </c>
    </row>
    <row r="278" spans="1:44" s="380" customFormat="1" ht="13.5" customHeight="1">
      <c r="A278" s="375" t="str">
        <f>IF(ISBLANK(F278)=TRUE," ",IF(ISBLANK('様式2'!$C$23)=TRUE," ",'様式2'!$C$23))</f>
        <v> </v>
      </c>
      <c r="B278" s="375" t="e">
        <f>LOOKUP(LOOKUP(C278,'様式3'!$A$5:$A$44,'様式3'!$C$5:$C$44),'産業分類表'!$D$2:$D$68,'産業分類表'!$E$2:$E$68)</f>
        <v>#N/A</v>
      </c>
      <c r="C278" s="343"/>
      <c r="D278" s="343"/>
      <c r="E278" s="343"/>
      <c r="F278" s="343"/>
      <c r="G278" s="341"/>
      <c r="H278" s="349"/>
      <c r="I278" s="343"/>
      <c r="J278" s="343"/>
      <c r="K278" s="342"/>
      <c r="L278" s="350"/>
      <c r="M278" s="351"/>
      <c r="N278" s="343"/>
      <c r="O278" s="354">
        <f t="shared" si="103"/>
      </c>
      <c r="P278" s="354">
        <f t="shared" si="104"/>
      </c>
      <c r="Q278" s="389"/>
      <c r="R278" s="376">
        <f t="shared" si="100"/>
      </c>
      <c r="S278" s="376">
        <f t="shared" si="101"/>
      </c>
      <c r="T278" s="352"/>
      <c r="U278" s="353"/>
      <c r="V278" s="352"/>
      <c r="W278" s="343"/>
      <c r="X278" s="388">
        <f t="shared" si="97"/>
      </c>
      <c r="Y278" s="375" t="e">
        <f t="shared" si="92"/>
        <v>#N/A</v>
      </c>
      <c r="Z278" s="375" t="e">
        <f t="shared" si="93"/>
        <v>#N/A</v>
      </c>
      <c r="AA278" s="375">
        <f t="shared" si="98"/>
      </c>
      <c r="AB278" s="377">
        <f t="shared" si="54"/>
        <v>1</v>
      </c>
      <c r="AC278" s="375" t="str">
        <f t="shared" si="55"/>
        <v> </v>
      </c>
      <c r="AD278" s="375" t="e">
        <f t="shared" si="56"/>
        <v>#N/A</v>
      </c>
      <c r="AE278" s="375" t="str">
        <f t="shared" si="57"/>
        <v> </v>
      </c>
      <c r="AF278" s="375" t="e">
        <f t="shared" si="94"/>
        <v>#N/A</v>
      </c>
      <c r="AG278" s="378" t="str">
        <f t="shared" si="58"/>
        <v> </v>
      </c>
      <c r="AH278" s="379" t="e">
        <f t="shared" si="59"/>
        <v>#VALUE!</v>
      </c>
      <c r="AI278" s="378" t="e">
        <f t="shared" si="91"/>
        <v>#VALUE!</v>
      </c>
      <c r="AJ278" s="375" t="e">
        <f t="shared" si="61"/>
        <v>#N/A</v>
      </c>
      <c r="AK278" s="375" t="e">
        <f>VLOOKUP(AJ278,'排出係数表'!$A$4:$C$202,2,FALSE)</f>
        <v>#N/A</v>
      </c>
      <c r="AL278" s="375" t="e">
        <f t="shared" si="95"/>
        <v>#N/A</v>
      </c>
      <c r="AM278" s="375" t="e">
        <f>VLOOKUP(AJ278,'排出係数表'!$A$4:$C$202,3,FALSE)</f>
        <v>#N/A</v>
      </c>
      <c r="AN278" s="375" t="e">
        <f t="shared" si="96"/>
        <v>#N/A</v>
      </c>
      <c r="AO278" s="375">
        <f t="shared" si="62"/>
      </c>
      <c r="AP278" s="379" t="str">
        <f t="shared" si="63"/>
        <v>-</v>
      </c>
      <c r="AQ278" s="375" t="e">
        <f t="shared" si="102"/>
        <v>#VALUE!</v>
      </c>
      <c r="AR278" s="375">
        <f t="shared" si="99"/>
      </c>
    </row>
    <row r="279" spans="1:44" s="380" customFormat="1" ht="13.5" customHeight="1">
      <c r="A279" s="375" t="str">
        <f>IF(ISBLANK(F279)=TRUE," ",IF(ISBLANK('様式2'!$C$23)=TRUE," ",'様式2'!$C$23))</f>
        <v> </v>
      </c>
      <c r="B279" s="375" t="e">
        <f>LOOKUP(LOOKUP(C279,'様式3'!$A$5:$A$44,'様式3'!$C$5:$C$44),'産業分類表'!$D$2:$D$68,'産業分類表'!$E$2:$E$68)</f>
        <v>#N/A</v>
      </c>
      <c r="C279" s="343"/>
      <c r="D279" s="343"/>
      <c r="E279" s="343"/>
      <c r="F279" s="343"/>
      <c r="G279" s="341"/>
      <c r="H279" s="349"/>
      <c r="I279" s="343"/>
      <c r="J279" s="343"/>
      <c r="K279" s="342"/>
      <c r="L279" s="350"/>
      <c r="M279" s="351"/>
      <c r="N279" s="343"/>
      <c r="O279" s="354">
        <f t="shared" si="103"/>
      </c>
      <c r="P279" s="354">
        <f t="shared" si="104"/>
      </c>
      <c r="Q279" s="389"/>
      <c r="R279" s="376">
        <f t="shared" si="100"/>
      </c>
      <c r="S279" s="376">
        <f t="shared" si="101"/>
      </c>
      <c r="T279" s="352"/>
      <c r="U279" s="353"/>
      <c r="V279" s="352"/>
      <c r="W279" s="343"/>
      <c r="X279" s="388">
        <f t="shared" si="97"/>
      </c>
      <c r="Y279" s="375" t="e">
        <f t="shared" si="92"/>
        <v>#N/A</v>
      </c>
      <c r="Z279" s="375" t="e">
        <f t="shared" si="93"/>
        <v>#N/A</v>
      </c>
      <c r="AA279" s="375">
        <f t="shared" si="98"/>
      </c>
      <c r="AB279" s="377">
        <f t="shared" si="54"/>
        <v>1</v>
      </c>
      <c r="AC279" s="375" t="str">
        <f t="shared" si="55"/>
        <v> </v>
      </c>
      <c r="AD279" s="375" t="e">
        <f t="shared" si="56"/>
        <v>#N/A</v>
      </c>
      <c r="AE279" s="375" t="str">
        <f t="shared" si="57"/>
        <v> </v>
      </c>
      <c r="AF279" s="375" t="e">
        <f t="shared" si="94"/>
        <v>#N/A</v>
      </c>
      <c r="AG279" s="378" t="str">
        <f t="shared" si="58"/>
        <v> </v>
      </c>
      <c r="AH279" s="379" t="e">
        <f t="shared" si="59"/>
        <v>#VALUE!</v>
      </c>
      <c r="AI279" s="378" t="e">
        <f t="shared" si="91"/>
        <v>#VALUE!</v>
      </c>
      <c r="AJ279" s="375" t="e">
        <f t="shared" si="61"/>
        <v>#N/A</v>
      </c>
      <c r="AK279" s="375" t="e">
        <f>VLOOKUP(AJ279,'排出係数表'!$A$4:$C$202,2,FALSE)</f>
        <v>#N/A</v>
      </c>
      <c r="AL279" s="375" t="e">
        <f t="shared" si="95"/>
        <v>#N/A</v>
      </c>
      <c r="AM279" s="375" t="e">
        <f>VLOOKUP(AJ279,'排出係数表'!$A$4:$C$202,3,FALSE)</f>
        <v>#N/A</v>
      </c>
      <c r="AN279" s="375" t="e">
        <f t="shared" si="96"/>
        <v>#N/A</v>
      </c>
      <c r="AO279" s="375">
        <f t="shared" si="62"/>
      </c>
      <c r="AP279" s="379" t="str">
        <f t="shared" si="63"/>
        <v>-</v>
      </c>
      <c r="AQ279" s="375" t="e">
        <f t="shared" si="102"/>
        <v>#VALUE!</v>
      </c>
      <c r="AR279" s="375">
        <f t="shared" si="99"/>
      </c>
    </row>
    <row r="280" spans="1:44" s="380" customFormat="1" ht="13.5" customHeight="1">
      <c r="A280" s="375" t="str">
        <f>IF(ISBLANK(F280)=TRUE," ",IF(ISBLANK('様式2'!$C$23)=TRUE," ",'様式2'!$C$23))</f>
        <v> </v>
      </c>
      <c r="B280" s="375" t="e">
        <f>LOOKUP(LOOKUP(C280,'様式3'!$A$5:$A$44,'様式3'!$C$5:$C$44),'産業分類表'!$D$2:$D$68,'産業分類表'!$E$2:$E$68)</f>
        <v>#N/A</v>
      </c>
      <c r="C280" s="343"/>
      <c r="D280" s="343"/>
      <c r="E280" s="343"/>
      <c r="F280" s="343"/>
      <c r="G280" s="341"/>
      <c r="H280" s="349"/>
      <c r="I280" s="343"/>
      <c r="J280" s="343"/>
      <c r="K280" s="342"/>
      <c r="L280" s="350"/>
      <c r="M280" s="351"/>
      <c r="N280" s="343"/>
      <c r="O280" s="354">
        <f t="shared" si="103"/>
      </c>
      <c r="P280" s="354">
        <f t="shared" si="104"/>
      </c>
      <c r="Q280" s="389"/>
      <c r="R280" s="376">
        <f t="shared" si="100"/>
      </c>
      <c r="S280" s="376">
        <f t="shared" si="101"/>
      </c>
      <c r="T280" s="352"/>
      <c r="U280" s="353"/>
      <c r="V280" s="352"/>
      <c r="W280" s="343"/>
      <c r="X280" s="388">
        <f t="shared" si="97"/>
      </c>
      <c r="Y280" s="375" t="e">
        <f t="shared" si="92"/>
        <v>#N/A</v>
      </c>
      <c r="Z280" s="375" t="e">
        <f t="shared" si="93"/>
        <v>#N/A</v>
      </c>
      <c r="AA280" s="375">
        <f t="shared" si="98"/>
      </c>
      <c r="AB280" s="377">
        <f t="shared" si="54"/>
        <v>1</v>
      </c>
      <c r="AC280" s="375" t="str">
        <f t="shared" si="55"/>
        <v> </v>
      </c>
      <c r="AD280" s="375" t="e">
        <f t="shared" si="56"/>
        <v>#N/A</v>
      </c>
      <c r="AE280" s="375" t="str">
        <f t="shared" si="57"/>
        <v> </v>
      </c>
      <c r="AF280" s="375" t="e">
        <f t="shared" si="94"/>
        <v>#N/A</v>
      </c>
      <c r="AG280" s="378" t="str">
        <f t="shared" si="58"/>
        <v> </v>
      </c>
      <c r="AH280" s="379" t="e">
        <f t="shared" si="59"/>
        <v>#VALUE!</v>
      </c>
      <c r="AI280" s="378" t="e">
        <f t="shared" si="91"/>
        <v>#VALUE!</v>
      </c>
      <c r="AJ280" s="375" t="e">
        <f t="shared" si="61"/>
        <v>#N/A</v>
      </c>
      <c r="AK280" s="375" t="e">
        <f>VLOOKUP(AJ280,'排出係数表'!$A$4:$C$202,2,FALSE)</f>
        <v>#N/A</v>
      </c>
      <c r="AL280" s="375" t="e">
        <f t="shared" si="95"/>
        <v>#N/A</v>
      </c>
      <c r="AM280" s="375" t="e">
        <f>VLOOKUP(AJ280,'排出係数表'!$A$4:$C$202,3,FALSE)</f>
        <v>#N/A</v>
      </c>
      <c r="AN280" s="375" t="e">
        <f t="shared" si="96"/>
        <v>#N/A</v>
      </c>
      <c r="AO280" s="375">
        <f t="shared" si="62"/>
      </c>
      <c r="AP280" s="379" t="str">
        <f t="shared" si="63"/>
        <v>-</v>
      </c>
      <c r="AQ280" s="375" t="e">
        <f t="shared" si="102"/>
        <v>#VALUE!</v>
      </c>
      <c r="AR280" s="375">
        <f t="shared" si="99"/>
      </c>
    </row>
    <row r="281" spans="1:44" s="380" customFormat="1" ht="13.5" customHeight="1">
      <c r="A281" s="375" t="str">
        <f>IF(ISBLANK(F281)=TRUE," ",IF(ISBLANK('様式2'!$C$23)=TRUE," ",'様式2'!$C$23))</f>
        <v> </v>
      </c>
      <c r="B281" s="375" t="e">
        <f>LOOKUP(LOOKUP(C281,'様式3'!$A$5:$A$44,'様式3'!$C$5:$C$44),'産業分類表'!$D$2:$D$68,'産業分類表'!$E$2:$E$68)</f>
        <v>#N/A</v>
      </c>
      <c r="C281" s="343"/>
      <c r="D281" s="343"/>
      <c r="E281" s="343"/>
      <c r="F281" s="343"/>
      <c r="G281" s="341"/>
      <c r="H281" s="349"/>
      <c r="I281" s="343"/>
      <c r="J281" s="343"/>
      <c r="K281" s="342"/>
      <c r="L281" s="350"/>
      <c r="M281" s="351"/>
      <c r="N281" s="343"/>
      <c r="O281" s="354">
        <f t="shared" si="103"/>
      </c>
      <c r="P281" s="354">
        <f t="shared" si="104"/>
      </c>
      <c r="Q281" s="389"/>
      <c r="R281" s="376">
        <f t="shared" si="100"/>
      </c>
      <c r="S281" s="376">
        <f t="shared" si="101"/>
      </c>
      <c r="T281" s="352"/>
      <c r="U281" s="353"/>
      <c r="V281" s="352"/>
      <c r="W281" s="343"/>
      <c r="X281" s="388">
        <f t="shared" si="97"/>
      </c>
      <c r="Y281" s="375" t="e">
        <f t="shared" si="92"/>
        <v>#N/A</v>
      </c>
      <c r="Z281" s="375" t="e">
        <f t="shared" si="93"/>
        <v>#N/A</v>
      </c>
      <c r="AA281" s="375">
        <f t="shared" si="98"/>
      </c>
      <c r="AB281" s="377">
        <f t="shared" si="54"/>
        <v>1</v>
      </c>
      <c r="AC281" s="375" t="str">
        <f t="shared" si="55"/>
        <v> </v>
      </c>
      <c r="AD281" s="375" t="e">
        <f t="shared" si="56"/>
        <v>#N/A</v>
      </c>
      <c r="AE281" s="375" t="str">
        <f t="shared" si="57"/>
        <v> </v>
      </c>
      <c r="AF281" s="375" t="e">
        <f t="shared" si="94"/>
        <v>#N/A</v>
      </c>
      <c r="AG281" s="378" t="str">
        <f t="shared" si="58"/>
        <v> </v>
      </c>
      <c r="AH281" s="379" t="e">
        <f t="shared" si="59"/>
        <v>#VALUE!</v>
      </c>
      <c r="AI281" s="378" t="e">
        <f t="shared" si="91"/>
        <v>#VALUE!</v>
      </c>
      <c r="AJ281" s="375" t="e">
        <f t="shared" si="61"/>
        <v>#N/A</v>
      </c>
      <c r="AK281" s="375" t="e">
        <f>VLOOKUP(AJ281,'排出係数表'!$A$4:$C$202,2,FALSE)</f>
        <v>#N/A</v>
      </c>
      <c r="AL281" s="375" t="e">
        <f t="shared" si="95"/>
        <v>#N/A</v>
      </c>
      <c r="AM281" s="375" t="e">
        <f>VLOOKUP(AJ281,'排出係数表'!$A$4:$C$202,3,FALSE)</f>
        <v>#N/A</v>
      </c>
      <c r="AN281" s="375" t="e">
        <f t="shared" si="96"/>
        <v>#N/A</v>
      </c>
      <c r="AO281" s="375">
        <f t="shared" si="62"/>
      </c>
      <c r="AP281" s="379" t="str">
        <f t="shared" si="63"/>
        <v>-</v>
      </c>
      <c r="AQ281" s="375" t="e">
        <f t="shared" si="102"/>
        <v>#VALUE!</v>
      </c>
      <c r="AR281" s="375">
        <f t="shared" si="99"/>
      </c>
    </row>
    <row r="282" spans="1:44" s="380" customFormat="1" ht="13.5" customHeight="1">
      <c r="A282" s="375" t="str">
        <f>IF(ISBLANK(F282)=TRUE," ",IF(ISBLANK('様式2'!$C$23)=TRUE," ",'様式2'!$C$23))</f>
        <v> </v>
      </c>
      <c r="B282" s="375" t="e">
        <f>LOOKUP(LOOKUP(C282,'様式3'!$A$5:$A$44,'様式3'!$C$5:$C$44),'産業分類表'!$D$2:$D$68,'産業分類表'!$E$2:$E$68)</f>
        <v>#N/A</v>
      </c>
      <c r="C282" s="343"/>
      <c r="D282" s="343"/>
      <c r="E282" s="343"/>
      <c r="F282" s="343"/>
      <c r="G282" s="341"/>
      <c r="H282" s="349"/>
      <c r="I282" s="343"/>
      <c r="J282" s="343"/>
      <c r="K282" s="342"/>
      <c r="L282" s="350"/>
      <c r="M282" s="351"/>
      <c r="N282" s="343"/>
      <c r="O282" s="354">
        <f t="shared" si="103"/>
      </c>
      <c r="P282" s="354">
        <f t="shared" si="104"/>
      </c>
      <c r="Q282" s="389"/>
      <c r="R282" s="376">
        <f t="shared" si="100"/>
      </c>
      <c r="S282" s="376">
        <f t="shared" si="101"/>
      </c>
      <c r="T282" s="352"/>
      <c r="U282" s="353"/>
      <c r="V282" s="352"/>
      <c r="W282" s="343"/>
      <c r="X282" s="388">
        <f t="shared" si="97"/>
      </c>
      <c r="Y282" s="375" t="e">
        <f t="shared" si="92"/>
        <v>#N/A</v>
      </c>
      <c r="Z282" s="375" t="e">
        <f t="shared" si="93"/>
        <v>#N/A</v>
      </c>
      <c r="AA282" s="375">
        <f t="shared" si="98"/>
      </c>
      <c r="AB282" s="377">
        <f t="shared" si="54"/>
        <v>1</v>
      </c>
      <c r="AC282" s="375" t="str">
        <f t="shared" si="55"/>
        <v> </v>
      </c>
      <c r="AD282" s="375" t="e">
        <f t="shared" si="56"/>
        <v>#N/A</v>
      </c>
      <c r="AE282" s="375" t="str">
        <f t="shared" si="57"/>
        <v> </v>
      </c>
      <c r="AF282" s="375" t="e">
        <f t="shared" si="94"/>
        <v>#N/A</v>
      </c>
      <c r="AG282" s="378" t="str">
        <f t="shared" si="58"/>
        <v> </v>
      </c>
      <c r="AH282" s="379" t="e">
        <f t="shared" si="59"/>
        <v>#VALUE!</v>
      </c>
      <c r="AI282" s="378" t="e">
        <f t="shared" si="91"/>
        <v>#VALUE!</v>
      </c>
      <c r="AJ282" s="375" t="e">
        <f t="shared" si="61"/>
        <v>#N/A</v>
      </c>
      <c r="AK282" s="375" t="e">
        <f>VLOOKUP(AJ282,'排出係数表'!$A$4:$C$202,2,FALSE)</f>
        <v>#N/A</v>
      </c>
      <c r="AL282" s="375" t="e">
        <f t="shared" si="95"/>
        <v>#N/A</v>
      </c>
      <c r="AM282" s="375" t="e">
        <f>VLOOKUP(AJ282,'排出係数表'!$A$4:$C$202,3,FALSE)</f>
        <v>#N/A</v>
      </c>
      <c r="AN282" s="375" t="e">
        <f t="shared" si="96"/>
        <v>#N/A</v>
      </c>
      <c r="AO282" s="375">
        <f t="shared" si="62"/>
      </c>
      <c r="AP282" s="379" t="str">
        <f t="shared" si="63"/>
        <v>-</v>
      </c>
      <c r="AQ282" s="375" t="e">
        <f t="shared" si="102"/>
        <v>#VALUE!</v>
      </c>
      <c r="AR282" s="375">
        <f t="shared" si="99"/>
      </c>
    </row>
    <row r="283" spans="1:44" s="380" customFormat="1" ht="13.5" customHeight="1">
      <c r="A283" s="375" t="str">
        <f>IF(ISBLANK(F283)=TRUE," ",IF(ISBLANK('様式2'!$C$23)=TRUE," ",'様式2'!$C$23))</f>
        <v> </v>
      </c>
      <c r="B283" s="375" t="e">
        <f>LOOKUP(LOOKUP(C283,'様式3'!$A$5:$A$44,'様式3'!$C$5:$C$44),'産業分類表'!$D$2:$D$68,'産業分類表'!$E$2:$E$68)</f>
        <v>#N/A</v>
      </c>
      <c r="C283" s="343"/>
      <c r="D283" s="343"/>
      <c r="E283" s="343"/>
      <c r="F283" s="343"/>
      <c r="G283" s="341"/>
      <c r="H283" s="349"/>
      <c r="I283" s="343"/>
      <c r="J283" s="343"/>
      <c r="K283" s="342"/>
      <c r="L283" s="350"/>
      <c r="M283" s="351"/>
      <c r="N283" s="343"/>
      <c r="O283" s="354">
        <f t="shared" si="103"/>
      </c>
      <c r="P283" s="354">
        <f t="shared" si="104"/>
      </c>
      <c r="Q283" s="389"/>
      <c r="R283" s="376">
        <f t="shared" si="100"/>
      </c>
      <c r="S283" s="376">
        <f t="shared" si="101"/>
      </c>
      <c r="T283" s="352"/>
      <c r="U283" s="353"/>
      <c r="V283" s="352"/>
      <c r="W283" s="343"/>
      <c r="X283" s="388">
        <f t="shared" si="97"/>
      </c>
      <c r="Y283" s="375" t="e">
        <f t="shared" si="92"/>
        <v>#N/A</v>
      </c>
      <c r="Z283" s="375" t="e">
        <f t="shared" si="93"/>
        <v>#N/A</v>
      </c>
      <c r="AA283" s="375">
        <f t="shared" si="98"/>
      </c>
      <c r="AB283" s="377">
        <f t="shared" si="54"/>
        <v>1</v>
      </c>
      <c r="AC283" s="375" t="str">
        <f t="shared" si="55"/>
        <v> </v>
      </c>
      <c r="AD283" s="375" t="e">
        <f t="shared" si="56"/>
        <v>#N/A</v>
      </c>
      <c r="AE283" s="375" t="str">
        <f t="shared" si="57"/>
        <v> </v>
      </c>
      <c r="AF283" s="375" t="e">
        <f t="shared" si="94"/>
        <v>#N/A</v>
      </c>
      <c r="AG283" s="378" t="str">
        <f t="shared" si="58"/>
        <v> </v>
      </c>
      <c r="AH283" s="379" t="e">
        <f t="shared" si="59"/>
        <v>#VALUE!</v>
      </c>
      <c r="AI283" s="378" t="e">
        <f t="shared" si="91"/>
        <v>#VALUE!</v>
      </c>
      <c r="AJ283" s="375" t="e">
        <f t="shared" si="61"/>
        <v>#N/A</v>
      </c>
      <c r="AK283" s="375" t="e">
        <f>VLOOKUP(AJ283,'排出係数表'!$A$4:$C$202,2,FALSE)</f>
        <v>#N/A</v>
      </c>
      <c r="AL283" s="375" t="e">
        <f t="shared" si="95"/>
        <v>#N/A</v>
      </c>
      <c r="AM283" s="375" t="e">
        <f>VLOOKUP(AJ283,'排出係数表'!$A$4:$C$202,3,FALSE)</f>
        <v>#N/A</v>
      </c>
      <c r="AN283" s="375" t="e">
        <f t="shared" si="96"/>
        <v>#N/A</v>
      </c>
      <c r="AO283" s="375">
        <f t="shared" si="62"/>
      </c>
      <c r="AP283" s="379" t="str">
        <f t="shared" si="63"/>
        <v>-</v>
      </c>
      <c r="AQ283" s="375" t="e">
        <f t="shared" si="102"/>
        <v>#VALUE!</v>
      </c>
      <c r="AR283" s="375">
        <f t="shared" si="99"/>
      </c>
    </row>
    <row r="284" spans="1:44" s="380" customFormat="1" ht="13.5" customHeight="1">
      <c r="A284" s="375" t="str">
        <f>IF(ISBLANK(F284)=TRUE," ",IF(ISBLANK('様式2'!$C$23)=TRUE," ",'様式2'!$C$23))</f>
        <v> </v>
      </c>
      <c r="B284" s="375" t="e">
        <f>LOOKUP(LOOKUP(C284,'様式3'!$A$5:$A$44,'様式3'!$C$5:$C$44),'産業分類表'!$D$2:$D$68,'産業分類表'!$E$2:$E$68)</f>
        <v>#N/A</v>
      </c>
      <c r="C284" s="343"/>
      <c r="D284" s="343"/>
      <c r="E284" s="343"/>
      <c r="F284" s="343"/>
      <c r="G284" s="341"/>
      <c r="H284" s="349"/>
      <c r="I284" s="343"/>
      <c r="J284" s="343"/>
      <c r="K284" s="342"/>
      <c r="L284" s="350"/>
      <c r="M284" s="351"/>
      <c r="N284" s="343"/>
      <c r="O284" s="354">
        <f t="shared" si="103"/>
      </c>
      <c r="P284" s="354">
        <f t="shared" si="104"/>
      </c>
      <c r="Q284" s="389"/>
      <c r="R284" s="376">
        <f t="shared" si="100"/>
      </c>
      <c r="S284" s="376">
        <f t="shared" si="101"/>
      </c>
      <c r="T284" s="352"/>
      <c r="U284" s="353"/>
      <c r="V284" s="352"/>
      <c r="W284" s="343"/>
      <c r="X284" s="388">
        <f t="shared" si="97"/>
      </c>
      <c r="Y284" s="375" t="e">
        <f t="shared" si="92"/>
        <v>#N/A</v>
      </c>
      <c r="Z284" s="375" t="e">
        <f t="shared" si="93"/>
        <v>#N/A</v>
      </c>
      <c r="AA284" s="375">
        <f t="shared" si="98"/>
      </c>
      <c r="AB284" s="377">
        <f t="shared" si="54"/>
        <v>1</v>
      </c>
      <c r="AC284" s="375" t="str">
        <f t="shared" si="55"/>
        <v> </v>
      </c>
      <c r="AD284" s="375" t="e">
        <f t="shared" si="56"/>
        <v>#N/A</v>
      </c>
      <c r="AE284" s="375" t="str">
        <f t="shared" si="57"/>
        <v> </v>
      </c>
      <c r="AF284" s="375" t="e">
        <f t="shared" si="94"/>
        <v>#N/A</v>
      </c>
      <c r="AG284" s="378" t="str">
        <f t="shared" si="58"/>
        <v> </v>
      </c>
      <c r="AH284" s="379" t="e">
        <f t="shared" si="59"/>
        <v>#VALUE!</v>
      </c>
      <c r="AI284" s="378" t="e">
        <f t="shared" si="91"/>
        <v>#VALUE!</v>
      </c>
      <c r="AJ284" s="375" t="e">
        <f t="shared" si="61"/>
        <v>#N/A</v>
      </c>
      <c r="AK284" s="375" t="e">
        <f>VLOOKUP(AJ284,'排出係数表'!$A$4:$C$202,2,FALSE)</f>
        <v>#N/A</v>
      </c>
      <c r="AL284" s="375" t="e">
        <f t="shared" si="95"/>
        <v>#N/A</v>
      </c>
      <c r="AM284" s="375" t="e">
        <f>VLOOKUP(AJ284,'排出係数表'!$A$4:$C$202,3,FALSE)</f>
        <v>#N/A</v>
      </c>
      <c r="AN284" s="375" t="e">
        <f t="shared" si="96"/>
        <v>#N/A</v>
      </c>
      <c r="AO284" s="375">
        <f t="shared" si="62"/>
      </c>
      <c r="AP284" s="379" t="str">
        <f t="shared" si="63"/>
        <v>-</v>
      </c>
      <c r="AQ284" s="375" t="e">
        <f t="shared" si="102"/>
        <v>#VALUE!</v>
      </c>
      <c r="AR284" s="375">
        <f t="shared" si="99"/>
      </c>
    </row>
    <row r="285" spans="1:44" s="380" customFormat="1" ht="13.5" customHeight="1">
      <c r="A285" s="375" t="str">
        <f>IF(ISBLANK(F285)=TRUE," ",IF(ISBLANK('様式2'!$C$23)=TRUE," ",'様式2'!$C$23))</f>
        <v> </v>
      </c>
      <c r="B285" s="375" t="e">
        <f>LOOKUP(LOOKUP(C285,'様式3'!$A$5:$A$44,'様式3'!$C$5:$C$44),'産業分類表'!$D$2:$D$68,'産業分類表'!$E$2:$E$68)</f>
        <v>#N/A</v>
      </c>
      <c r="C285" s="343"/>
      <c r="D285" s="343"/>
      <c r="E285" s="343"/>
      <c r="F285" s="343"/>
      <c r="G285" s="341"/>
      <c r="H285" s="349"/>
      <c r="I285" s="343"/>
      <c r="J285" s="343"/>
      <c r="K285" s="342"/>
      <c r="L285" s="350"/>
      <c r="M285" s="351"/>
      <c r="N285" s="343"/>
      <c r="O285" s="354">
        <f t="shared" si="103"/>
      </c>
      <c r="P285" s="354">
        <f t="shared" si="104"/>
      </c>
      <c r="Q285" s="389"/>
      <c r="R285" s="376">
        <f t="shared" si="100"/>
      </c>
      <c r="S285" s="376">
        <f t="shared" si="101"/>
      </c>
      <c r="T285" s="352"/>
      <c r="U285" s="353"/>
      <c r="V285" s="352"/>
      <c r="W285" s="343"/>
      <c r="X285" s="388">
        <f t="shared" si="97"/>
      </c>
      <c r="Y285" s="375" t="e">
        <f t="shared" si="92"/>
        <v>#N/A</v>
      </c>
      <c r="Z285" s="375" t="e">
        <f t="shared" si="93"/>
        <v>#N/A</v>
      </c>
      <c r="AA285" s="375">
        <f t="shared" si="98"/>
      </c>
      <c r="AB285" s="377">
        <f t="shared" si="54"/>
        <v>1</v>
      </c>
      <c r="AC285" s="375" t="str">
        <f t="shared" si="55"/>
        <v> </v>
      </c>
      <c r="AD285" s="375" t="e">
        <f t="shared" si="56"/>
        <v>#N/A</v>
      </c>
      <c r="AE285" s="375" t="str">
        <f t="shared" si="57"/>
        <v> </v>
      </c>
      <c r="AF285" s="375" t="e">
        <f t="shared" si="94"/>
        <v>#N/A</v>
      </c>
      <c r="AG285" s="378" t="str">
        <f t="shared" si="58"/>
        <v> </v>
      </c>
      <c r="AH285" s="379" t="e">
        <f t="shared" si="59"/>
        <v>#VALUE!</v>
      </c>
      <c r="AI285" s="378" t="e">
        <f t="shared" si="91"/>
        <v>#VALUE!</v>
      </c>
      <c r="AJ285" s="375" t="e">
        <f t="shared" si="61"/>
        <v>#N/A</v>
      </c>
      <c r="AK285" s="375" t="e">
        <f>VLOOKUP(AJ285,'排出係数表'!$A$4:$C$202,2,FALSE)</f>
        <v>#N/A</v>
      </c>
      <c r="AL285" s="375" t="e">
        <f t="shared" si="95"/>
        <v>#N/A</v>
      </c>
      <c r="AM285" s="375" t="e">
        <f>VLOOKUP(AJ285,'排出係数表'!$A$4:$C$202,3,FALSE)</f>
        <v>#N/A</v>
      </c>
      <c r="AN285" s="375" t="e">
        <f t="shared" si="96"/>
        <v>#N/A</v>
      </c>
      <c r="AO285" s="375">
        <f t="shared" si="62"/>
      </c>
      <c r="AP285" s="379" t="str">
        <f t="shared" si="63"/>
        <v>-</v>
      </c>
      <c r="AQ285" s="375" t="e">
        <f t="shared" si="102"/>
        <v>#VALUE!</v>
      </c>
      <c r="AR285" s="375">
        <f t="shared" si="99"/>
      </c>
    </row>
    <row r="286" spans="1:44" s="380" customFormat="1" ht="13.5" customHeight="1">
      <c r="A286" s="375" t="str">
        <f>IF(ISBLANK(F286)=TRUE," ",IF(ISBLANK('様式2'!$C$23)=TRUE," ",'様式2'!$C$23))</f>
        <v> </v>
      </c>
      <c r="B286" s="375" t="e">
        <f>LOOKUP(LOOKUP(C286,'様式3'!$A$5:$A$44,'様式3'!$C$5:$C$44),'産業分類表'!$D$2:$D$68,'産業分類表'!$E$2:$E$68)</f>
        <v>#N/A</v>
      </c>
      <c r="C286" s="343"/>
      <c r="D286" s="343"/>
      <c r="E286" s="343"/>
      <c r="F286" s="343"/>
      <c r="G286" s="341"/>
      <c r="H286" s="349"/>
      <c r="I286" s="343"/>
      <c r="J286" s="343"/>
      <c r="K286" s="342"/>
      <c r="L286" s="350"/>
      <c r="M286" s="351"/>
      <c r="N286" s="343"/>
      <c r="O286" s="354">
        <f t="shared" si="103"/>
      </c>
      <c r="P286" s="354">
        <f t="shared" si="104"/>
      </c>
      <c r="Q286" s="389"/>
      <c r="R286" s="376">
        <f t="shared" si="100"/>
      </c>
      <c r="S286" s="376">
        <f t="shared" si="101"/>
      </c>
      <c r="T286" s="352"/>
      <c r="U286" s="353"/>
      <c r="V286" s="352"/>
      <c r="W286" s="343"/>
      <c r="X286" s="388">
        <f t="shared" si="97"/>
      </c>
      <c r="Y286" s="375" t="e">
        <f t="shared" si="92"/>
        <v>#N/A</v>
      </c>
      <c r="Z286" s="375" t="e">
        <f t="shared" si="93"/>
        <v>#N/A</v>
      </c>
      <c r="AA286" s="375">
        <f t="shared" si="98"/>
      </c>
      <c r="AB286" s="377">
        <f t="shared" si="54"/>
        <v>1</v>
      </c>
      <c r="AC286" s="375" t="str">
        <f t="shared" si="55"/>
        <v> </v>
      </c>
      <c r="AD286" s="375" t="e">
        <f t="shared" si="56"/>
        <v>#N/A</v>
      </c>
      <c r="AE286" s="375" t="str">
        <f t="shared" si="57"/>
        <v> </v>
      </c>
      <c r="AF286" s="375" t="e">
        <f t="shared" si="94"/>
        <v>#N/A</v>
      </c>
      <c r="AG286" s="378" t="str">
        <f t="shared" si="58"/>
        <v> </v>
      </c>
      <c r="AH286" s="379" t="e">
        <f t="shared" si="59"/>
        <v>#VALUE!</v>
      </c>
      <c r="AI286" s="378" t="e">
        <f t="shared" si="91"/>
        <v>#VALUE!</v>
      </c>
      <c r="AJ286" s="375" t="e">
        <f t="shared" si="61"/>
        <v>#N/A</v>
      </c>
      <c r="AK286" s="375" t="e">
        <f>VLOOKUP(AJ286,'排出係数表'!$A$4:$C$202,2,FALSE)</f>
        <v>#N/A</v>
      </c>
      <c r="AL286" s="375" t="e">
        <f t="shared" si="95"/>
        <v>#N/A</v>
      </c>
      <c r="AM286" s="375" t="e">
        <f>VLOOKUP(AJ286,'排出係数表'!$A$4:$C$202,3,FALSE)</f>
        <v>#N/A</v>
      </c>
      <c r="AN286" s="375" t="e">
        <f t="shared" si="96"/>
        <v>#N/A</v>
      </c>
      <c r="AO286" s="375">
        <f t="shared" si="62"/>
      </c>
      <c r="AP286" s="379" t="str">
        <f t="shared" si="63"/>
        <v>-</v>
      </c>
      <c r="AQ286" s="375" t="e">
        <f t="shared" si="102"/>
        <v>#VALUE!</v>
      </c>
      <c r="AR286" s="375">
        <f t="shared" si="99"/>
      </c>
    </row>
    <row r="287" spans="1:44" s="380" customFormat="1" ht="13.5" customHeight="1">
      <c r="A287" s="375" t="str">
        <f>IF(ISBLANK(F287)=TRUE," ",IF(ISBLANK('様式2'!$C$23)=TRUE," ",'様式2'!$C$23))</f>
        <v> </v>
      </c>
      <c r="B287" s="375" t="e">
        <f>LOOKUP(LOOKUP(C287,'様式3'!$A$5:$A$44,'様式3'!$C$5:$C$44),'産業分類表'!$D$2:$D$68,'産業分類表'!$E$2:$E$68)</f>
        <v>#N/A</v>
      </c>
      <c r="C287" s="343"/>
      <c r="D287" s="343"/>
      <c r="E287" s="343"/>
      <c r="F287" s="343"/>
      <c r="G287" s="341"/>
      <c r="H287" s="349"/>
      <c r="I287" s="343"/>
      <c r="J287" s="343"/>
      <c r="K287" s="342"/>
      <c r="L287" s="350"/>
      <c r="M287" s="351"/>
      <c r="N287" s="343"/>
      <c r="O287" s="354">
        <f t="shared" si="103"/>
      </c>
      <c r="P287" s="354">
        <f t="shared" si="104"/>
      </c>
      <c r="Q287" s="389"/>
      <c r="R287" s="376">
        <f t="shared" si="100"/>
      </c>
      <c r="S287" s="376">
        <f t="shared" si="101"/>
      </c>
      <c r="T287" s="352"/>
      <c r="U287" s="353"/>
      <c r="V287" s="352"/>
      <c r="W287" s="343"/>
      <c r="X287" s="388">
        <f t="shared" si="97"/>
      </c>
      <c r="Y287" s="375" t="e">
        <f t="shared" si="92"/>
        <v>#N/A</v>
      </c>
      <c r="Z287" s="375" t="e">
        <f t="shared" si="93"/>
        <v>#N/A</v>
      </c>
      <c r="AA287" s="375">
        <f t="shared" si="98"/>
      </c>
      <c r="AB287" s="377">
        <f t="shared" si="54"/>
        <v>1</v>
      </c>
      <c r="AC287" s="375" t="str">
        <f t="shared" si="55"/>
        <v> </v>
      </c>
      <c r="AD287" s="375" t="e">
        <f t="shared" si="56"/>
        <v>#N/A</v>
      </c>
      <c r="AE287" s="375" t="str">
        <f t="shared" si="57"/>
        <v> </v>
      </c>
      <c r="AF287" s="375" t="e">
        <f t="shared" si="94"/>
        <v>#N/A</v>
      </c>
      <c r="AG287" s="378" t="str">
        <f t="shared" si="58"/>
        <v> </v>
      </c>
      <c r="AH287" s="379" t="e">
        <f t="shared" si="59"/>
        <v>#VALUE!</v>
      </c>
      <c r="AI287" s="378" t="e">
        <f t="shared" si="91"/>
        <v>#VALUE!</v>
      </c>
      <c r="AJ287" s="375" t="e">
        <f t="shared" si="61"/>
        <v>#N/A</v>
      </c>
      <c r="AK287" s="375" t="e">
        <f>VLOOKUP(AJ287,'排出係数表'!$A$4:$C$202,2,FALSE)</f>
        <v>#N/A</v>
      </c>
      <c r="AL287" s="375" t="e">
        <f t="shared" si="95"/>
        <v>#N/A</v>
      </c>
      <c r="AM287" s="375" t="e">
        <f>VLOOKUP(AJ287,'排出係数表'!$A$4:$C$202,3,FALSE)</f>
        <v>#N/A</v>
      </c>
      <c r="AN287" s="375" t="e">
        <f t="shared" si="96"/>
        <v>#N/A</v>
      </c>
      <c r="AO287" s="375">
        <f t="shared" si="62"/>
      </c>
      <c r="AP287" s="379" t="str">
        <f t="shared" si="63"/>
        <v>-</v>
      </c>
      <c r="AQ287" s="375" t="e">
        <f t="shared" si="102"/>
        <v>#VALUE!</v>
      </c>
      <c r="AR287" s="375">
        <f t="shared" si="99"/>
      </c>
    </row>
    <row r="288" spans="1:44" s="380" customFormat="1" ht="13.5" customHeight="1">
      <c r="A288" s="375" t="str">
        <f>IF(ISBLANK(F288)=TRUE," ",IF(ISBLANK('様式2'!$C$23)=TRUE," ",'様式2'!$C$23))</f>
        <v> </v>
      </c>
      <c r="B288" s="375" t="e">
        <f>LOOKUP(LOOKUP(C288,'様式3'!$A$5:$A$44,'様式3'!$C$5:$C$44),'産業分類表'!$D$2:$D$68,'産業分類表'!$E$2:$E$68)</f>
        <v>#N/A</v>
      </c>
      <c r="C288" s="343"/>
      <c r="D288" s="343"/>
      <c r="E288" s="343"/>
      <c r="F288" s="343"/>
      <c r="G288" s="341"/>
      <c r="H288" s="349"/>
      <c r="I288" s="343"/>
      <c r="J288" s="343"/>
      <c r="K288" s="342"/>
      <c r="L288" s="350"/>
      <c r="M288" s="351"/>
      <c r="N288" s="343"/>
      <c r="O288" s="354">
        <f t="shared" si="103"/>
      </c>
      <c r="P288" s="354">
        <f t="shared" si="104"/>
      </c>
      <c r="Q288" s="389"/>
      <c r="R288" s="376">
        <f t="shared" si="100"/>
      </c>
      <c r="S288" s="376">
        <f t="shared" si="101"/>
      </c>
      <c r="T288" s="352"/>
      <c r="U288" s="353"/>
      <c r="V288" s="352"/>
      <c r="W288" s="343"/>
      <c r="X288" s="388">
        <f t="shared" si="97"/>
      </c>
      <c r="Y288" s="375" t="e">
        <f t="shared" si="92"/>
        <v>#N/A</v>
      </c>
      <c r="Z288" s="375" t="e">
        <f t="shared" si="93"/>
        <v>#N/A</v>
      </c>
      <c r="AA288" s="375">
        <f t="shared" si="98"/>
      </c>
      <c r="AB288" s="377">
        <f t="shared" si="54"/>
        <v>1</v>
      </c>
      <c r="AC288" s="375" t="str">
        <f t="shared" si="55"/>
        <v> </v>
      </c>
      <c r="AD288" s="375" t="e">
        <f t="shared" si="56"/>
        <v>#N/A</v>
      </c>
      <c r="AE288" s="375" t="str">
        <f t="shared" si="57"/>
        <v> </v>
      </c>
      <c r="AF288" s="375" t="e">
        <f t="shared" si="94"/>
        <v>#N/A</v>
      </c>
      <c r="AG288" s="378" t="str">
        <f t="shared" si="58"/>
        <v> </v>
      </c>
      <c r="AH288" s="379" t="e">
        <f t="shared" si="59"/>
        <v>#VALUE!</v>
      </c>
      <c r="AI288" s="378" t="e">
        <f t="shared" si="91"/>
        <v>#VALUE!</v>
      </c>
      <c r="AJ288" s="375" t="e">
        <f t="shared" si="61"/>
        <v>#N/A</v>
      </c>
      <c r="AK288" s="375" t="e">
        <f>VLOOKUP(AJ288,'排出係数表'!$A$4:$C$202,2,FALSE)</f>
        <v>#N/A</v>
      </c>
      <c r="AL288" s="375" t="e">
        <f t="shared" si="95"/>
        <v>#N/A</v>
      </c>
      <c r="AM288" s="375" t="e">
        <f>VLOOKUP(AJ288,'排出係数表'!$A$4:$C$202,3,FALSE)</f>
        <v>#N/A</v>
      </c>
      <c r="AN288" s="375" t="e">
        <f t="shared" si="96"/>
        <v>#N/A</v>
      </c>
      <c r="AO288" s="375">
        <f t="shared" si="62"/>
      </c>
      <c r="AP288" s="379" t="str">
        <f t="shared" si="63"/>
        <v>-</v>
      </c>
      <c r="AQ288" s="375" t="e">
        <f t="shared" si="102"/>
        <v>#VALUE!</v>
      </c>
      <c r="AR288" s="375">
        <f t="shared" si="99"/>
      </c>
    </row>
    <row r="289" spans="1:44" s="380" customFormat="1" ht="13.5" customHeight="1">
      <c r="A289" s="375" t="str">
        <f>IF(ISBLANK(F289)=TRUE," ",IF(ISBLANK('様式2'!$C$23)=TRUE," ",'様式2'!$C$23))</f>
        <v> </v>
      </c>
      <c r="B289" s="375" t="e">
        <f>LOOKUP(LOOKUP(C289,'様式3'!$A$5:$A$44,'様式3'!$C$5:$C$44),'産業分類表'!$D$2:$D$68,'産業分類表'!$E$2:$E$68)</f>
        <v>#N/A</v>
      </c>
      <c r="C289" s="343"/>
      <c r="D289" s="343"/>
      <c r="E289" s="343"/>
      <c r="F289" s="343"/>
      <c r="G289" s="341"/>
      <c r="H289" s="349"/>
      <c r="I289" s="343"/>
      <c r="J289" s="343"/>
      <c r="K289" s="342"/>
      <c r="L289" s="350"/>
      <c r="M289" s="351"/>
      <c r="N289" s="343"/>
      <c r="O289" s="354">
        <f t="shared" si="103"/>
      </c>
      <c r="P289" s="354">
        <f t="shared" si="104"/>
      </c>
      <c r="Q289" s="389"/>
      <c r="R289" s="376">
        <f t="shared" si="100"/>
      </c>
      <c r="S289" s="376">
        <f t="shared" si="101"/>
      </c>
      <c r="T289" s="352"/>
      <c r="U289" s="353"/>
      <c r="V289" s="352"/>
      <c r="W289" s="343"/>
      <c r="X289" s="388">
        <f t="shared" si="97"/>
      </c>
      <c r="Y289" s="375" t="e">
        <f t="shared" si="92"/>
        <v>#N/A</v>
      </c>
      <c r="Z289" s="375" t="e">
        <f t="shared" si="93"/>
        <v>#N/A</v>
      </c>
      <c r="AA289" s="375">
        <f t="shared" si="98"/>
      </c>
      <c r="AB289" s="377">
        <f t="shared" si="54"/>
        <v>1</v>
      </c>
      <c r="AC289" s="375" t="str">
        <f t="shared" si="55"/>
        <v> </v>
      </c>
      <c r="AD289" s="375" t="e">
        <f t="shared" si="56"/>
        <v>#N/A</v>
      </c>
      <c r="AE289" s="375" t="str">
        <f t="shared" si="57"/>
        <v> </v>
      </c>
      <c r="AF289" s="375" t="e">
        <f t="shared" si="94"/>
        <v>#N/A</v>
      </c>
      <c r="AG289" s="378" t="str">
        <f t="shared" si="58"/>
        <v> </v>
      </c>
      <c r="AH289" s="379" t="e">
        <f t="shared" si="59"/>
        <v>#VALUE!</v>
      </c>
      <c r="AI289" s="378" t="e">
        <f t="shared" si="91"/>
        <v>#VALUE!</v>
      </c>
      <c r="AJ289" s="375" t="e">
        <f t="shared" si="61"/>
        <v>#N/A</v>
      </c>
      <c r="AK289" s="375" t="e">
        <f>VLOOKUP(AJ289,'排出係数表'!$A$4:$C$202,2,FALSE)</f>
        <v>#N/A</v>
      </c>
      <c r="AL289" s="375" t="e">
        <f t="shared" si="95"/>
        <v>#N/A</v>
      </c>
      <c r="AM289" s="375" t="e">
        <f>VLOOKUP(AJ289,'排出係数表'!$A$4:$C$202,3,FALSE)</f>
        <v>#N/A</v>
      </c>
      <c r="AN289" s="375" t="e">
        <f t="shared" si="96"/>
        <v>#N/A</v>
      </c>
      <c r="AO289" s="375">
        <f t="shared" si="62"/>
      </c>
      <c r="AP289" s="379" t="str">
        <f t="shared" si="63"/>
        <v>-</v>
      </c>
      <c r="AQ289" s="375" t="e">
        <f t="shared" si="102"/>
        <v>#VALUE!</v>
      </c>
      <c r="AR289" s="375">
        <f t="shared" si="99"/>
      </c>
    </row>
    <row r="290" spans="1:44" s="380" customFormat="1" ht="13.5" customHeight="1">
      <c r="A290" s="375" t="str">
        <f>IF(ISBLANK(F290)=TRUE," ",IF(ISBLANK('様式2'!$C$23)=TRUE," ",'様式2'!$C$23))</f>
        <v> </v>
      </c>
      <c r="B290" s="375" t="e">
        <f>LOOKUP(LOOKUP(C290,'様式3'!$A$5:$A$44,'様式3'!$C$5:$C$44),'産業分類表'!$D$2:$D$68,'産業分類表'!$E$2:$E$68)</f>
        <v>#N/A</v>
      </c>
      <c r="C290" s="343"/>
      <c r="D290" s="343"/>
      <c r="E290" s="343"/>
      <c r="F290" s="343"/>
      <c r="G290" s="341"/>
      <c r="H290" s="349"/>
      <c r="I290" s="343"/>
      <c r="J290" s="343"/>
      <c r="K290" s="342"/>
      <c r="L290" s="350"/>
      <c r="M290" s="351"/>
      <c r="N290" s="343"/>
      <c r="O290" s="354">
        <f t="shared" si="103"/>
      </c>
      <c r="P290" s="354">
        <f t="shared" si="104"/>
      </c>
      <c r="Q290" s="389"/>
      <c r="R290" s="376">
        <f t="shared" si="100"/>
      </c>
      <c r="S290" s="376">
        <f t="shared" si="101"/>
      </c>
      <c r="T290" s="352"/>
      <c r="U290" s="353"/>
      <c r="V290" s="352"/>
      <c r="W290" s="343"/>
      <c r="X290" s="388">
        <f t="shared" si="97"/>
      </c>
      <c r="Y290" s="375" t="e">
        <f t="shared" si="92"/>
        <v>#N/A</v>
      </c>
      <c r="Z290" s="375" t="e">
        <f t="shared" si="93"/>
        <v>#N/A</v>
      </c>
      <c r="AA290" s="375">
        <f t="shared" si="98"/>
      </c>
      <c r="AB290" s="377">
        <f t="shared" si="54"/>
        <v>1</v>
      </c>
      <c r="AC290" s="375" t="str">
        <f t="shared" si="55"/>
        <v> </v>
      </c>
      <c r="AD290" s="375" t="e">
        <f t="shared" si="56"/>
        <v>#N/A</v>
      </c>
      <c r="AE290" s="375" t="str">
        <f t="shared" si="57"/>
        <v> </v>
      </c>
      <c r="AF290" s="375" t="e">
        <f t="shared" si="94"/>
        <v>#N/A</v>
      </c>
      <c r="AG290" s="378" t="str">
        <f t="shared" si="58"/>
        <v> </v>
      </c>
      <c r="AH290" s="379" t="e">
        <f t="shared" si="59"/>
        <v>#VALUE!</v>
      </c>
      <c r="AI290" s="378" t="e">
        <f t="shared" si="91"/>
        <v>#VALUE!</v>
      </c>
      <c r="AJ290" s="375" t="e">
        <f t="shared" si="61"/>
        <v>#N/A</v>
      </c>
      <c r="AK290" s="375" t="e">
        <f>VLOOKUP(AJ290,'排出係数表'!$A$4:$C$202,2,FALSE)</f>
        <v>#N/A</v>
      </c>
      <c r="AL290" s="375" t="e">
        <f t="shared" si="95"/>
        <v>#N/A</v>
      </c>
      <c r="AM290" s="375" t="e">
        <f>VLOOKUP(AJ290,'排出係数表'!$A$4:$C$202,3,FALSE)</f>
        <v>#N/A</v>
      </c>
      <c r="AN290" s="375" t="e">
        <f t="shared" si="96"/>
        <v>#N/A</v>
      </c>
      <c r="AO290" s="375">
        <f t="shared" si="62"/>
      </c>
      <c r="AP290" s="379" t="str">
        <f t="shared" si="63"/>
        <v>-</v>
      </c>
      <c r="AQ290" s="375" t="e">
        <f t="shared" si="102"/>
        <v>#VALUE!</v>
      </c>
      <c r="AR290" s="375">
        <f t="shared" si="99"/>
      </c>
    </row>
    <row r="291" spans="1:44" s="380" customFormat="1" ht="13.5" customHeight="1">
      <c r="A291" s="375" t="str">
        <f>IF(ISBLANK(F291)=TRUE," ",IF(ISBLANK('様式2'!$C$23)=TRUE," ",'様式2'!$C$23))</f>
        <v> </v>
      </c>
      <c r="B291" s="375" t="e">
        <f>LOOKUP(LOOKUP(C291,'様式3'!$A$5:$A$44,'様式3'!$C$5:$C$44),'産業分類表'!$D$2:$D$68,'産業分類表'!$E$2:$E$68)</f>
        <v>#N/A</v>
      </c>
      <c r="C291" s="343"/>
      <c r="D291" s="343"/>
      <c r="E291" s="343"/>
      <c r="F291" s="343"/>
      <c r="G291" s="341"/>
      <c r="H291" s="349"/>
      <c r="I291" s="343"/>
      <c r="J291" s="343"/>
      <c r="K291" s="342"/>
      <c r="L291" s="350"/>
      <c r="M291" s="351"/>
      <c r="N291" s="343"/>
      <c r="O291" s="354">
        <f t="shared" si="103"/>
      </c>
      <c r="P291" s="354">
        <f t="shared" si="104"/>
      </c>
      <c r="Q291" s="389"/>
      <c r="R291" s="376">
        <f t="shared" si="100"/>
      </c>
      <c r="S291" s="376">
        <f t="shared" si="101"/>
      </c>
      <c r="T291" s="352"/>
      <c r="U291" s="353"/>
      <c r="V291" s="352"/>
      <c r="W291" s="343"/>
      <c r="X291" s="388">
        <f t="shared" si="97"/>
      </c>
      <c r="Y291" s="375" t="e">
        <f t="shared" si="92"/>
        <v>#N/A</v>
      </c>
      <c r="Z291" s="375" t="e">
        <f t="shared" si="93"/>
        <v>#N/A</v>
      </c>
      <c r="AA291" s="375">
        <f t="shared" si="98"/>
      </c>
      <c r="AB291" s="377">
        <f t="shared" si="54"/>
        <v>1</v>
      </c>
      <c r="AC291" s="375" t="str">
        <f t="shared" si="55"/>
        <v> </v>
      </c>
      <c r="AD291" s="375" t="e">
        <f t="shared" si="56"/>
        <v>#N/A</v>
      </c>
      <c r="AE291" s="375" t="str">
        <f t="shared" si="57"/>
        <v> </v>
      </c>
      <c r="AF291" s="375" t="e">
        <f t="shared" si="94"/>
        <v>#N/A</v>
      </c>
      <c r="AG291" s="378" t="str">
        <f t="shared" si="58"/>
        <v> </v>
      </c>
      <c r="AH291" s="379" t="e">
        <f t="shared" si="59"/>
        <v>#VALUE!</v>
      </c>
      <c r="AI291" s="378" t="e">
        <f t="shared" si="91"/>
        <v>#VALUE!</v>
      </c>
      <c r="AJ291" s="375" t="e">
        <f t="shared" si="61"/>
        <v>#N/A</v>
      </c>
      <c r="AK291" s="375" t="e">
        <f>VLOOKUP(AJ291,'排出係数表'!$A$4:$C$202,2,FALSE)</f>
        <v>#N/A</v>
      </c>
      <c r="AL291" s="375" t="e">
        <f t="shared" si="95"/>
        <v>#N/A</v>
      </c>
      <c r="AM291" s="375" t="e">
        <f>VLOOKUP(AJ291,'排出係数表'!$A$4:$C$202,3,FALSE)</f>
        <v>#N/A</v>
      </c>
      <c r="AN291" s="375" t="e">
        <f t="shared" si="96"/>
        <v>#N/A</v>
      </c>
      <c r="AO291" s="375">
        <f t="shared" si="62"/>
      </c>
      <c r="AP291" s="379" t="str">
        <f t="shared" si="63"/>
        <v>-</v>
      </c>
      <c r="AQ291" s="375" t="e">
        <f t="shared" si="102"/>
        <v>#VALUE!</v>
      </c>
      <c r="AR291" s="375">
        <f t="shared" si="99"/>
      </c>
    </row>
    <row r="292" spans="1:44" s="380" customFormat="1" ht="13.5" customHeight="1">
      <c r="A292" s="375" t="str">
        <f>IF(ISBLANK(F292)=TRUE," ",IF(ISBLANK('様式2'!$C$23)=TRUE," ",'様式2'!$C$23))</f>
        <v> </v>
      </c>
      <c r="B292" s="375" t="e">
        <f>LOOKUP(LOOKUP(C292,'様式3'!$A$5:$A$44,'様式3'!$C$5:$C$44),'産業分類表'!$D$2:$D$68,'産業分類表'!$E$2:$E$68)</f>
        <v>#N/A</v>
      </c>
      <c r="C292" s="343"/>
      <c r="D292" s="343"/>
      <c r="E292" s="343"/>
      <c r="F292" s="343"/>
      <c r="G292" s="341"/>
      <c r="H292" s="349"/>
      <c r="I292" s="343"/>
      <c r="J292" s="343"/>
      <c r="K292" s="342"/>
      <c r="L292" s="350"/>
      <c r="M292" s="351"/>
      <c r="N292" s="343"/>
      <c r="O292" s="354">
        <f t="shared" si="103"/>
      </c>
      <c r="P292" s="354">
        <f t="shared" si="104"/>
      </c>
      <c r="Q292" s="389"/>
      <c r="R292" s="376">
        <f t="shared" si="100"/>
      </c>
      <c r="S292" s="376">
        <f t="shared" si="101"/>
      </c>
      <c r="T292" s="352"/>
      <c r="U292" s="353"/>
      <c r="V292" s="352"/>
      <c r="W292" s="343"/>
      <c r="X292" s="388">
        <f t="shared" si="97"/>
      </c>
      <c r="Y292" s="375" t="e">
        <f t="shared" si="92"/>
        <v>#N/A</v>
      </c>
      <c r="Z292" s="375" t="e">
        <f t="shared" si="93"/>
        <v>#N/A</v>
      </c>
      <c r="AA292" s="375">
        <f t="shared" si="98"/>
      </c>
      <c r="AB292" s="377">
        <f t="shared" si="54"/>
        <v>1</v>
      </c>
      <c r="AC292" s="375" t="str">
        <f t="shared" si="55"/>
        <v> </v>
      </c>
      <c r="AD292" s="375" t="e">
        <f t="shared" si="56"/>
        <v>#N/A</v>
      </c>
      <c r="AE292" s="375" t="str">
        <f t="shared" si="57"/>
        <v> </v>
      </c>
      <c r="AF292" s="375" t="e">
        <f t="shared" si="94"/>
        <v>#N/A</v>
      </c>
      <c r="AG292" s="378" t="str">
        <f t="shared" si="58"/>
        <v> </v>
      </c>
      <c r="AH292" s="379" t="e">
        <f t="shared" si="59"/>
        <v>#VALUE!</v>
      </c>
      <c r="AI292" s="378" t="e">
        <f t="shared" si="91"/>
        <v>#VALUE!</v>
      </c>
      <c r="AJ292" s="375" t="e">
        <f t="shared" si="61"/>
        <v>#N/A</v>
      </c>
      <c r="AK292" s="375" t="e">
        <f>VLOOKUP(AJ292,'排出係数表'!$A$4:$C$202,2,FALSE)</f>
        <v>#N/A</v>
      </c>
      <c r="AL292" s="375" t="e">
        <f t="shared" si="95"/>
        <v>#N/A</v>
      </c>
      <c r="AM292" s="375" t="e">
        <f>VLOOKUP(AJ292,'排出係数表'!$A$4:$C$202,3,FALSE)</f>
        <v>#N/A</v>
      </c>
      <c r="AN292" s="375" t="e">
        <f t="shared" si="96"/>
        <v>#N/A</v>
      </c>
      <c r="AO292" s="375">
        <f t="shared" si="62"/>
      </c>
      <c r="AP292" s="379" t="str">
        <f t="shared" si="63"/>
        <v>-</v>
      </c>
      <c r="AQ292" s="375" t="e">
        <f t="shared" si="102"/>
        <v>#VALUE!</v>
      </c>
      <c r="AR292" s="375">
        <f t="shared" si="99"/>
      </c>
    </row>
    <row r="293" spans="1:44" s="380" customFormat="1" ht="13.5" customHeight="1">
      <c r="A293" s="375" t="str">
        <f>IF(ISBLANK(F293)=TRUE," ",IF(ISBLANK('様式2'!$C$23)=TRUE," ",'様式2'!$C$23))</f>
        <v> </v>
      </c>
      <c r="B293" s="375" t="e">
        <f>LOOKUP(LOOKUP(C293,'様式3'!$A$5:$A$44,'様式3'!$C$5:$C$44),'産業分類表'!$D$2:$D$68,'産業分類表'!$E$2:$E$68)</f>
        <v>#N/A</v>
      </c>
      <c r="C293" s="343"/>
      <c r="D293" s="343"/>
      <c r="E293" s="343"/>
      <c r="F293" s="343"/>
      <c r="G293" s="341"/>
      <c r="H293" s="349"/>
      <c r="I293" s="343"/>
      <c r="J293" s="343"/>
      <c r="K293" s="342"/>
      <c r="L293" s="350"/>
      <c r="M293" s="351"/>
      <c r="N293" s="343"/>
      <c r="O293" s="354">
        <f t="shared" si="103"/>
      </c>
      <c r="P293" s="354">
        <f t="shared" si="104"/>
      </c>
      <c r="Q293" s="389"/>
      <c r="R293" s="376">
        <f t="shared" si="100"/>
      </c>
      <c r="S293" s="376">
        <f t="shared" si="101"/>
      </c>
      <c r="T293" s="352"/>
      <c r="U293" s="353"/>
      <c r="V293" s="352"/>
      <c r="W293" s="343"/>
      <c r="X293" s="388">
        <f t="shared" si="97"/>
      </c>
      <c r="Y293" s="375" t="e">
        <f t="shared" si="92"/>
        <v>#N/A</v>
      </c>
      <c r="Z293" s="375" t="e">
        <f t="shared" si="93"/>
        <v>#N/A</v>
      </c>
      <c r="AA293" s="375">
        <f t="shared" si="98"/>
      </c>
      <c r="AB293" s="377">
        <f t="shared" si="54"/>
        <v>1</v>
      </c>
      <c r="AC293" s="375" t="str">
        <f t="shared" si="55"/>
        <v> </v>
      </c>
      <c r="AD293" s="375" t="e">
        <f t="shared" si="56"/>
        <v>#N/A</v>
      </c>
      <c r="AE293" s="375" t="str">
        <f t="shared" si="57"/>
        <v> </v>
      </c>
      <c r="AF293" s="375" t="e">
        <f t="shared" si="94"/>
        <v>#N/A</v>
      </c>
      <c r="AG293" s="378" t="str">
        <f t="shared" si="58"/>
        <v> </v>
      </c>
      <c r="AH293" s="379" t="e">
        <f t="shared" si="59"/>
        <v>#VALUE!</v>
      </c>
      <c r="AI293" s="378" t="e">
        <f t="shared" si="91"/>
        <v>#VALUE!</v>
      </c>
      <c r="AJ293" s="375" t="e">
        <f t="shared" si="61"/>
        <v>#N/A</v>
      </c>
      <c r="AK293" s="375" t="e">
        <f>VLOOKUP(AJ293,'排出係数表'!$A$4:$C$202,2,FALSE)</f>
        <v>#N/A</v>
      </c>
      <c r="AL293" s="375" t="e">
        <f t="shared" si="95"/>
        <v>#N/A</v>
      </c>
      <c r="AM293" s="375" t="e">
        <f>VLOOKUP(AJ293,'排出係数表'!$A$4:$C$202,3,FALSE)</f>
        <v>#N/A</v>
      </c>
      <c r="AN293" s="375" t="e">
        <f t="shared" si="96"/>
        <v>#N/A</v>
      </c>
      <c r="AO293" s="375">
        <f t="shared" si="62"/>
      </c>
      <c r="AP293" s="379" t="str">
        <f t="shared" si="63"/>
        <v>-</v>
      </c>
      <c r="AQ293" s="375" t="e">
        <f t="shared" si="102"/>
        <v>#VALUE!</v>
      </c>
      <c r="AR293" s="375">
        <f t="shared" si="99"/>
      </c>
    </row>
    <row r="294" spans="1:44" s="380" customFormat="1" ht="13.5" customHeight="1">
      <c r="A294" s="375" t="str">
        <f>IF(ISBLANK(F294)=TRUE," ",IF(ISBLANK('様式2'!$C$23)=TRUE," ",'様式2'!$C$23))</f>
        <v> </v>
      </c>
      <c r="B294" s="375" t="e">
        <f>LOOKUP(LOOKUP(C294,'様式3'!$A$5:$A$44,'様式3'!$C$5:$C$44),'産業分類表'!$D$2:$D$68,'産業分類表'!$E$2:$E$68)</f>
        <v>#N/A</v>
      </c>
      <c r="C294" s="343"/>
      <c r="D294" s="343"/>
      <c r="E294" s="343"/>
      <c r="F294" s="343"/>
      <c r="G294" s="341"/>
      <c r="H294" s="349"/>
      <c r="I294" s="343"/>
      <c r="J294" s="343"/>
      <c r="K294" s="342"/>
      <c r="L294" s="350"/>
      <c r="M294" s="351"/>
      <c r="N294" s="343"/>
      <c r="O294" s="354">
        <f t="shared" si="103"/>
      </c>
      <c r="P294" s="354">
        <f t="shared" si="104"/>
      </c>
      <c r="Q294" s="389"/>
      <c r="R294" s="376">
        <f t="shared" si="100"/>
      </c>
      <c r="S294" s="376">
        <f t="shared" si="101"/>
      </c>
      <c r="T294" s="352"/>
      <c r="U294" s="353"/>
      <c r="V294" s="352"/>
      <c r="W294" s="343"/>
      <c r="X294" s="388">
        <f t="shared" si="97"/>
      </c>
      <c r="Y294" s="375" t="e">
        <f t="shared" si="92"/>
        <v>#N/A</v>
      </c>
      <c r="Z294" s="375" t="e">
        <f t="shared" si="93"/>
        <v>#N/A</v>
      </c>
      <c r="AA294" s="375">
        <f t="shared" si="98"/>
      </c>
      <c r="AB294" s="377">
        <f t="shared" si="54"/>
        <v>1</v>
      </c>
      <c r="AC294" s="375" t="str">
        <f t="shared" si="55"/>
        <v> </v>
      </c>
      <c r="AD294" s="375" t="e">
        <f t="shared" si="56"/>
        <v>#N/A</v>
      </c>
      <c r="AE294" s="375" t="str">
        <f t="shared" si="57"/>
        <v> </v>
      </c>
      <c r="AF294" s="375" t="e">
        <f t="shared" si="94"/>
        <v>#N/A</v>
      </c>
      <c r="AG294" s="378" t="str">
        <f t="shared" si="58"/>
        <v> </v>
      </c>
      <c r="AH294" s="379" t="e">
        <f t="shared" si="59"/>
        <v>#VALUE!</v>
      </c>
      <c r="AI294" s="378" t="e">
        <f t="shared" si="91"/>
        <v>#VALUE!</v>
      </c>
      <c r="AJ294" s="375" t="e">
        <f t="shared" si="61"/>
        <v>#N/A</v>
      </c>
      <c r="AK294" s="375" t="e">
        <f>VLOOKUP(AJ294,'排出係数表'!$A$4:$C$202,2,FALSE)</f>
        <v>#N/A</v>
      </c>
      <c r="AL294" s="375" t="e">
        <f t="shared" si="95"/>
        <v>#N/A</v>
      </c>
      <c r="AM294" s="375" t="e">
        <f>VLOOKUP(AJ294,'排出係数表'!$A$4:$C$202,3,FALSE)</f>
        <v>#N/A</v>
      </c>
      <c r="AN294" s="375" t="e">
        <f t="shared" si="96"/>
        <v>#N/A</v>
      </c>
      <c r="AO294" s="375">
        <f t="shared" si="62"/>
      </c>
      <c r="AP294" s="379" t="str">
        <f t="shared" si="63"/>
        <v>-</v>
      </c>
      <c r="AQ294" s="375" t="e">
        <f t="shared" si="102"/>
        <v>#VALUE!</v>
      </c>
      <c r="AR294" s="375">
        <f t="shared" si="99"/>
      </c>
    </row>
    <row r="295" spans="1:44" s="380" customFormat="1" ht="13.5" customHeight="1">
      <c r="A295" s="375" t="str">
        <f>IF(ISBLANK(F295)=TRUE," ",IF(ISBLANK('様式2'!$C$23)=TRUE," ",'様式2'!$C$23))</f>
        <v> </v>
      </c>
      <c r="B295" s="375" t="e">
        <f>LOOKUP(LOOKUP(C295,'様式3'!$A$5:$A$44,'様式3'!$C$5:$C$44),'産業分類表'!$D$2:$D$68,'産業分類表'!$E$2:$E$68)</f>
        <v>#N/A</v>
      </c>
      <c r="C295" s="343"/>
      <c r="D295" s="343"/>
      <c r="E295" s="343"/>
      <c r="F295" s="343"/>
      <c r="G295" s="341"/>
      <c r="H295" s="349"/>
      <c r="I295" s="343"/>
      <c r="J295" s="343"/>
      <c r="K295" s="342"/>
      <c r="L295" s="350"/>
      <c r="M295" s="351"/>
      <c r="N295" s="343"/>
      <c r="O295" s="354">
        <f t="shared" si="103"/>
      </c>
      <c r="P295" s="354">
        <f t="shared" si="104"/>
      </c>
      <c r="Q295" s="389"/>
      <c r="R295" s="376">
        <f t="shared" si="100"/>
      </c>
      <c r="S295" s="376">
        <f t="shared" si="101"/>
      </c>
      <c r="T295" s="352"/>
      <c r="U295" s="353"/>
      <c r="V295" s="352"/>
      <c r="W295" s="343"/>
      <c r="X295" s="388">
        <f t="shared" si="97"/>
      </c>
      <c r="Y295" s="375" t="e">
        <f t="shared" si="92"/>
        <v>#N/A</v>
      </c>
      <c r="Z295" s="375" t="e">
        <f t="shared" si="93"/>
        <v>#N/A</v>
      </c>
      <c r="AA295" s="375">
        <f t="shared" si="98"/>
      </c>
      <c r="AB295" s="377">
        <f t="shared" si="54"/>
        <v>1</v>
      </c>
      <c r="AC295" s="375" t="str">
        <f t="shared" si="55"/>
        <v> </v>
      </c>
      <c r="AD295" s="375" t="e">
        <f t="shared" si="56"/>
        <v>#N/A</v>
      </c>
      <c r="AE295" s="375" t="str">
        <f t="shared" si="57"/>
        <v> </v>
      </c>
      <c r="AF295" s="375" t="e">
        <f t="shared" si="94"/>
        <v>#N/A</v>
      </c>
      <c r="AG295" s="378" t="str">
        <f t="shared" si="58"/>
        <v> </v>
      </c>
      <c r="AH295" s="379" t="e">
        <f t="shared" si="59"/>
        <v>#VALUE!</v>
      </c>
      <c r="AI295" s="378" t="e">
        <f t="shared" si="91"/>
        <v>#VALUE!</v>
      </c>
      <c r="AJ295" s="375" t="e">
        <f t="shared" si="61"/>
        <v>#N/A</v>
      </c>
      <c r="AK295" s="375" t="e">
        <f>VLOOKUP(AJ295,'排出係数表'!$A$4:$C$202,2,FALSE)</f>
        <v>#N/A</v>
      </c>
      <c r="AL295" s="375" t="e">
        <f t="shared" si="95"/>
        <v>#N/A</v>
      </c>
      <c r="AM295" s="375" t="e">
        <f>VLOOKUP(AJ295,'排出係数表'!$A$4:$C$202,3,FALSE)</f>
        <v>#N/A</v>
      </c>
      <c r="AN295" s="375" t="e">
        <f t="shared" si="96"/>
        <v>#N/A</v>
      </c>
      <c r="AO295" s="375">
        <f t="shared" si="62"/>
      </c>
      <c r="AP295" s="379" t="str">
        <f t="shared" si="63"/>
        <v>-</v>
      </c>
      <c r="AQ295" s="375" t="e">
        <f t="shared" si="102"/>
        <v>#VALUE!</v>
      </c>
      <c r="AR295" s="375">
        <f t="shared" si="99"/>
      </c>
    </row>
    <row r="296" spans="1:44" s="380" customFormat="1" ht="13.5" customHeight="1">
      <c r="A296" s="375" t="str">
        <f>IF(ISBLANK(F296)=TRUE," ",IF(ISBLANK('様式2'!$C$23)=TRUE," ",'様式2'!$C$23))</f>
        <v> </v>
      </c>
      <c r="B296" s="375" t="e">
        <f>LOOKUP(LOOKUP(C296,'様式3'!$A$5:$A$44,'様式3'!$C$5:$C$44),'産業分類表'!$D$2:$D$68,'産業分類表'!$E$2:$E$68)</f>
        <v>#N/A</v>
      </c>
      <c r="C296" s="343"/>
      <c r="D296" s="343"/>
      <c r="E296" s="343"/>
      <c r="F296" s="343"/>
      <c r="G296" s="341"/>
      <c r="H296" s="349"/>
      <c r="I296" s="343"/>
      <c r="J296" s="343"/>
      <c r="K296" s="342"/>
      <c r="L296" s="350"/>
      <c r="M296" s="351"/>
      <c r="N296" s="343"/>
      <c r="O296" s="354">
        <f t="shared" si="103"/>
      </c>
      <c r="P296" s="354">
        <f t="shared" si="104"/>
      </c>
      <c r="Q296" s="389"/>
      <c r="R296" s="376">
        <f t="shared" si="100"/>
      </c>
      <c r="S296" s="376">
        <f t="shared" si="101"/>
      </c>
      <c r="T296" s="352"/>
      <c r="U296" s="353"/>
      <c r="V296" s="352"/>
      <c r="W296" s="343"/>
      <c r="X296" s="388">
        <f t="shared" si="97"/>
      </c>
      <c r="Y296" s="375" t="e">
        <f t="shared" si="92"/>
        <v>#N/A</v>
      </c>
      <c r="Z296" s="375" t="e">
        <f t="shared" si="93"/>
        <v>#N/A</v>
      </c>
      <c r="AA296" s="375">
        <f t="shared" si="98"/>
      </c>
      <c r="AB296" s="377">
        <f t="shared" si="54"/>
        <v>1</v>
      </c>
      <c r="AC296" s="375" t="str">
        <f t="shared" si="55"/>
        <v> </v>
      </c>
      <c r="AD296" s="375" t="e">
        <f t="shared" si="56"/>
        <v>#N/A</v>
      </c>
      <c r="AE296" s="375" t="str">
        <f t="shared" si="57"/>
        <v> </v>
      </c>
      <c r="AF296" s="375" t="e">
        <f t="shared" si="94"/>
        <v>#N/A</v>
      </c>
      <c r="AG296" s="378" t="str">
        <f t="shared" si="58"/>
        <v> </v>
      </c>
      <c r="AH296" s="379" t="e">
        <f t="shared" si="59"/>
        <v>#VALUE!</v>
      </c>
      <c r="AI296" s="378" t="e">
        <f aca="true" t="shared" si="105" ref="AI296:AI303">CONCATENATE(AH296,Z296,AE296)</f>
        <v>#VALUE!</v>
      </c>
      <c r="AJ296" s="375" t="e">
        <f t="shared" si="61"/>
        <v>#N/A</v>
      </c>
      <c r="AK296" s="375" t="e">
        <f>VLOOKUP(AJ296,'排出係数表'!$A$4:$C$202,2,FALSE)</f>
        <v>#N/A</v>
      </c>
      <c r="AL296" s="375" t="e">
        <f t="shared" si="95"/>
        <v>#N/A</v>
      </c>
      <c r="AM296" s="375" t="e">
        <f>VLOOKUP(AJ296,'排出係数表'!$A$4:$C$202,3,FALSE)</f>
        <v>#N/A</v>
      </c>
      <c r="AN296" s="375" t="e">
        <f t="shared" si="96"/>
        <v>#N/A</v>
      </c>
      <c r="AO296" s="375">
        <f t="shared" si="62"/>
      </c>
      <c r="AP296" s="379" t="str">
        <f t="shared" si="63"/>
        <v>-</v>
      </c>
      <c r="AQ296" s="375" t="e">
        <f t="shared" si="102"/>
        <v>#VALUE!</v>
      </c>
      <c r="AR296" s="375">
        <f t="shared" si="99"/>
      </c>
    </row>
    <row r="297" spans="1:44" s="380" customFormat="1" ht="13.5" customHeight="1">
      <c r="A297" s="375" t="str">
        <f>IF(ISBLANK(F297)=TRUE," ",IF(ISBLANK('様式2'!$C$23)=TRUE," ",'様式2'!$C$23))</f>
        <v> </v>
      </c>
      <c r="B297" s="375" t="e">
        <f>LOOKUP(LOOKUP(C297,'様式3'!$A$5:$A$44,'様式3'!$C$5:$C$44),'産業分類表'!$D$2:$D$68,'産業分類表'!$E$2:$E$68)</f>
        <v>#N/A</v>
      </c>
      <c r="C297" s="343"/>
      <c r="D297" s="343"/>
      <c r="E297" s="343"/>
      <c r="F297" s="343"/>
      <c r="G297" s="341"/>
      <c r="H297" s="349"/>
      <c r="I297" s="343"/>
      <c r="J297" s="343"/>
      <c r="K297" s="342"/>
      <c r="L297" s="350"/>
      <c r="M297" s="351"/>
      <c r="N297" s="343"/>
      <c r="O297" s="354">
        <f t="shared" si="103"/>
      </c>
      <c r="P297" s="354">
        <f t="shared" si="104"/>
      </c>
      <c r="Q297" s="389"/>
      <c r="R297" s="376">
        <f t="shared" si="100"/>
      </c>
      <c r="S297" s="376">
        <f t="shared" si="101"/>
      </c>
      <c r="T297" s="352"/>
      <c r="U297" s="353"/>
      <c r="V297" s="352"/>
      <c r="W297" s="343"/>
      <c r="X297" s="388">
        <f t="shared" si="97"/>
      </c>
      <c r="Y297" s="375" t="e">
        <f t="shared" si="92"/>
        <v>#N/A</v>
      </c>
      <c r="Z297" s="375" t="e">
        <f t="shared" si="93"/>
        <v>#N/A</v>
      </c>
      <c r="AA297" s="375">
        <f t="shared" si="98"/>
      </c>
      <c r="AB297" s="377">
        <f t="shared" si="54"/>
        <v>1</v>
      </c>
      <c r="AC297" s="375" t="str">
        <f t="shared" si="55"/>
        <v> </v>
      </c>
      <c r="AD297" s="375" t="e">
        <f t="shared" si="56"/>
        <v>#N/A</v>
      </c>
      <c r="AE297" s="375" t="str">
        <f t="shared" si="57"/>
        <v> </v>
      </c>
      <c r="AF297" s="375" t="e">
        <f t="shared" si="94"/>
        <v>#N/A</v>
      </c>
      <c r="AG297" s="378" t="str">
        <f t="shared" si="58"/>
        <v> </v>
      </c>
      <c r="AH297" s="379" t="e">
        <f t="shared" si="59"/>
        <v>#VALUE!</v>
      </c>
      <c r="AI297" s="378" t="e">
        <f t="shared" si="105"/>
        <v>#VALUE!</v>
      </c>
      <c r="AJ297" s="375" t="e">
        <f t="shared" si="61"/>
        <v>#N/A</v>
      </c>
      <c r="AK297" s="375" t="e">
        <f>VLOOKUP(AJ297,'排出係数表'!$A$4:$C$202,2,FALSE)</f>
        <v>#N/A</v>
      </c>
      <c r="AL297" s="375" t="e">
        <f t="shared" si="95"/>
        <v>#N/A</v>
      </c>
      <c r="AM297" s="375" t="e">
        <f>VLOOKUP(AJ297,'排出係数表'!$A$4:$C$202,3,FALSE)</f>
        <v>#N/A</v>
      </c>
      <c r="AN297" s="375" t="e">
        <f t="shared" si="96"/>
        <v>#N/A</v>
      </c>
      <c r="AO297" s="375">
        <f t="shared" si="62"/>
      </c>
      <c r="AP297" s="379" t="str">
        <f t="shared" si="63"/>
        <v>-</v>
      </c>
      <c r="AQ297" s="375" t="e">
        <f t="shared" si="102"/>
        <v>#VALUE!</v>
      </c>
      <c r="AR297" s="375">
        <f t="shared" si="99"/>
      </c>
    </row>
    <row r="298" spans="1:44" s="380" customFormat="1" ht="13.5" customHeight="1">
      <c r="A298" s="375" t="str">
        <f>IF(ISBLANK(F298)=TRUE," ",IF(ISBLANK('様式2'!$C$23)=TRUE," ",'様式2'!$C$23))</f>
        <v> </v>
      </c>
      <c r="B298" s="375" t="e">
        <f>LOOKUP(LOOKUP(C298,'様式3'!$A$5:$A$44,'様式3'!$C$5:$C$44),'産業分類表'!$D$2:$D$68,'産業分類表'!$E$2:$E$68)</f>
        <v>#N/A</v>
      </c>
      <c r="C298" s="343"/>
      <c r="D298" s="343"/>
      <c r="E298" s="343"/>
      <c r="F298" s="343"/>
      <c r="G298" s="341"/>
      <c r="H298" s="349"/>
      <c r="I298" s="343"/>
      <c r="J298" s="343"/>
      <c r="K298" s="342"/>
      <c r="L298" s="350"/>
      <c r="M298" s="351"/>
      <c r="N298" s="343"/>
      <c r="O298" s="354">
        <f t="shared" si="103"/>
      </c>
      <c r="P298" s="354">
        <f t="shared" si="104"/>
      </c>
      <c r="Q298" s="389"/>
      <c r="R298" s="376">
        <f t="shared" si="100"/>
      </c>
      <c r="S298" s="376">
        <f t="shared" si="101"/>
      </c>
      <c r="T298" s="352"/>
      <c r="U298" s="353"/>
      <c r="V298" s="352"/>
      <c r="W298" s="343"/>
      <c r="X298" s="388">
        <f t="shared" si="97"/>
      </c>
      <c r="Y298" s="375" t="e">
        <f t="shared" si="92"/>
        <v>#N/A</v>
      </c>
      <c r="Z298" s="375" t="e">
        <f t="shared" si="93"/>
        <v>#N/A</v>
      </c>
      <c r="AA298" s="375">
        <f t="shared" si="98"/>
      </c>
      <c r="AB298" s="377">
        <f t="shared" si="54"/>
        <v>1</v>
      </c>
      <c r="AC298" s="375" t="str">
        <f t="shared" si="55"/>
        <v> </v>
      </c>
      <c r="AD298" s="375" t="e">
        <f t="shared" si="56"/>
        <v>#N/A</v>
      </c>
      <c r="AE298" s="375" t="str">
        <f t="shared" si="57"/>
        <v> </v>
      </c>
      <c r="AF298" s="375" t="e">
        <f t="shared" si="94"/>
        <v>#N/A</v>
      </c>
      <c r="AG298" s="378" t="str">
        <f t="shared" si="58"/>
        <v> </v>
      </c>
      <c r="AH298" s="379" t="e">
        <f t="shared" si="59"/>
        <v>#VALUE!</v>
      </c>
      <c r="AI298" s="378" t="e">
        <f t="shared" si="105"/>
        <v>#VALUE!</v>
      </c>
      <c r="AJ298" s="375" t="e">
        <f t="shared" si="61"/>
        <v>#N/A</v>
      </c>
      <c r="AK298" s="375" t="e">
        <f>VLOOKUP(AJ298,'排出係数表'!$A$4:$C$202,2,FALSE)</f>
        <v>#N/A</v>
      </c>
      <c r="AL298" s="375" t="e">
        <f t="shared" si="95"/>
        <v>#N/A</v>
      </c>
      <c r="AM298" s="375" t="e">
        <f>VLOOKUP(AJ298,'排出係数表'!$A$4:$C$202,3,FALSE)</f>
        <v>#N/A</v>
      </c>
      <c r="AN298" s="375" t="e">
        <f t="shared" si="96"/>
        <v>#N/A</v>
      </c>
      <c r="AO298" s="375">
        <f t="shared" si="62"/>
      </c>
      <c r="AP298" s="379" t="str">
        <f t="shared" si="63"/>
        <v>-</v>
      </c>
      <c r="AQ298" s="375" t="e">
        <f t="shared" si="102"/>
        <v>#VALUE!</v>
      </c>
      <c r="AR298" s="375">
        <f t="shared" si="99"/>
      </c>
    </row>
    <row r="299" spans="1:44" s="380" customFormat="1" ht="13.5" customHeight="1">
      <c r="A299" s="375" t="str">
        <f>IF(ISBLANK(F299)=TRUE," ",IF(ISBLANK('様式2'!$C$23)=TRUE," ",'様式2'!$C$23))</f>
        <v> </v>
      </c>
      <c r="B299" s="375" t="e">
        <f>LOOKUP(LOOKUP(C299,'様式3'!$A$5:$A$44,'様式3'!$C$5:$C$44),'産業分類表'!$D$2:$D$68,'産業分類表'!$E$2:$E$68)</f>
        <v>#N/A</v>
      </c>
      <c r="C299" s="343"/>
      <c r="D299" s="343"/>
      <c r="E299" s="343"/>
      <c r="F299" s="343"/>
      <c r="G299" s="341"/>
      <c r="H299" s="349"/>
      <c r="I299" s="343"/>
      <c r="J299" s="343"/>
      <c r="K299" s="342"/>
      <c r="L299" s="350"/>
      <c r="M299" s="351"/>
      <c r="N299" s="343"/>
      <c r="O299" s="354">
        <f t="shared" si="103"/>
      </c>
      <c r="P299" s="354">
        <f t="shared" si="104"/>
      </c>
      <c r="Q299" s="389"/>
      <c r="R299" s="376">
        <f t="shared" si="100"/>
      </c>
      <c r="S299" s="376">
        <f t="shared" si="101"/>
      </c>
      <c r="T299" s="352"/>
      <c r="U299" s="353"/>
      <c r="V299" s="352"/>
      <c r="W299" s="343"/>
      <c r="X299" s="388">
        <f t="shared" si="97"/>
      </c>
      <c r="Y299" s="375" t="e">
        <f t="shared" si="92"/>
        <v>#N/A</v>
      </c>
      <c r="Z299" s="375" t="e">
        <f t="shared" si="93"/>
        <v>#N/A</v>
      </c>
      <c r="AA299" s="375">
        <f t="shared" si="98"/>
      </c>
      <c r="AB299" s="377">
        <f t="shared" si="54"/>
        <v>1</v>
      </c>
      <c r="AC299" s="375" t="str">
        <f t="shared" si="55"/>
        <v> </v>
      </c>
      <c r="AD299" s="375" t="e">
        <f t="shared" si="56"/>
        <v>#N/A</v>
      </c>
      <c r="AE299" s="375" t="str">
        <f t="shared" si="57"/>
        <v> </v>
      </c>
      <c r="AF299" s="375" t="e">
        <f t="shared" si="94"/>
        <v>#N/A</v>
      </c>
      <c r="AG299" s="378" t="str">
        <f t="shared" si="58"/>
        <v> </v>
      </c>
      <c r="AH299" s="379" t="e">
        <f t="shared" si="59"/>
        <v>#VALUE!</v>
      </c>
      <c r="AI299" s="378" t="e">
        <f t="shared" si="105"/>
        <v>#VALUE!</v>
      </c>
      <c r="AJ299" s="375" t="e">
        <f t="shared" si="61"/>
        <v>#N/A</v>
      </c>
      <c r="AK299" s="375" t="e">
        <f>VLOOKUP(AJ299,'排出係数表'!$A$4:$C$202,2,FALSE)</f>
        <v>#N/A</v>
      </c>
      <c r="AL299" s="375" t="e">
        <f t="shared" si="95"/>
        <v>#N/A</v>
      </c>
      <c r="AM299" s="375" t="e">
        <f>VLOOKUP(AJ299,'排出係数表'!$A$4:$C$202,3,FALSE)</f>
        <v>#N/A</v>
      </c>
      <c r="AN299" s="375" t="e">
        <f t="shared" si="96"/>
        <v>#N/A</v>
      </c>
      <c r="AO299" s="375">
        <f t="shared" si="62"/>
      </c>
      <c r="AP299" s="379" t="str">
        <f t="shared" si="63"/>
        <v>-</v>
      </c>
      <c r="AQ299" s="375" t="e">
        <f t="shared" si="102"/>
        <v>#VALUE!</v>
      </c>
      <c r="AR299" s="375">
        <f t="shared" si="99"/>
      </c>
    </row>
    <row r="300" spans="1:44" s="380" customFormat="1" ht="13.5" customHeight="1">
      <c r="A300" s="375" t="str">
        <f>IF(ISBLANK(F300)=TRUE," ",IF(ISBLANK('様式2'!$C$23)=TRUE," ",'様式2'!$C$23))</f>
        <v> </v>
      </c>
      <c r="B300" s="375" t="e">
        <f>LOOKUP(LOOKUP(C300,'様式3'!$A$5:$A$44,'様式3'!$C$5:$C$44),'産業分類表'!$D$2:$D$68,'産業分類表'!$E$2:$E$68)</f>
        <v>#N/A</v>
      </c>
      <c r="C300" s="343"/>
      <c r="D300" s="343"/>
      <c r="E300" s="343"/>
      <c r="F300" s="343"/>
      <c r="G300" s="341"/>
      <c r="H300" s="349"/>
      <c r="I300" s="343"/>
      <c r="J300" s="343"/>
      <c r="K300" s="342"/>
      <c r="L300" s="350"/>
      <c r="M300" s="351"/>
      <c r="N300" s="343"/>
      <c r="O300" s="354">
        <f t="shared" si="103"/>
      </c>
      <c r="P300" s="354">
        <f t="shared" si="104"/>
      </c>
      <c r="Q300" s="389"/>
      <c r="R300" s="376">
        <f t="shared" si="100"/>
      </c>
      <c r="S300" s="376">
        <f t="shared" si="101"/>
      </c>
      <c r="T300" s="352"/>
      <c r="U300" s="353"/>
      <c r="V300" s="352"/>
      <c r="W300" s="343"/>
      <c r="X300" s="388">
        <f t="shared" si="97"/>
      </c>
      <c r="Y300" s="375" t="e">
        <f t="shared" si="92"/>
        <v>#N/A</v>
      </c>
      <c r="Z300" s="375" t="e">
        <f t="shared" si="93"/>
        <v>#N/A</v>
      </c>
      <c r="AA300" s="375">
        <f t="shared" si="98"/>
      </c>
      <c r="AB300" s="377">
        <f t="shared" si="54"/>
        <v>1</v>
      </c>
      <c r="AC300" s="375" t="str">
        <f t="shared" si="55"/>
        <v> </v>
      </c>
      <c r="AD300" s="375" t="e">
        <f t="shared" si="56"/>
        <v>#N/A</v>
      </c>
      <c r="AE300" s="375" t="str">
        <f t="shared" si="57"/>
        <v> </v>
      </c>
      <c r="AF300" s="375" t="e">
        <f t="shared" si="94"/>
        <v>#N/A</v>
      </c>
      <c r="AG300" s="378" t="str">
        <f t="shared" si="58"/>
        <v> </v>
      </c>
      <c r="AH300" s="379" t="e">
        <f t="shared" si="59"/>
        <v>#VALUE!</v>
      </c>
      <c r="AI300" s="378" t="e">
        <f t="shared" si="105"/>
        <v>#VALUE!</v>
      </c>
      <c r="AJ300" s="375" t="e">
        <f t="shared" si="61"/>
        <v>#N/A</v>
      </c>
      <c r="AK300" s="375" t="e">
        <f>VLOOKUP(AJ300,'排出係数表'!$A$4:$C$202,2,FALSE)</f>
        <v>#N/A</v>
      </c>
      <c r="AL300" s="375" t="e">
        <f t="shared" si="95"/>
        <v>#N/A</v>
      </c>
      <c r="AM300" s="375" t="e">
        <f>VLOOKUP(AJ300,'排出係数表'!$A$4:$C$202,3,FALSE)</f>
        <v>#N/A</v>
      </c>
      <c r="AN300" s="375" t="e">
        <f t="shared" si="96"/>
        <v>#N/A</v>
      </c>
      <c r="AO300" s="375">
        <f t="shared" si="62"/>
      </c>
      <c r="AP300" s="379" t="str">
        <f t="shared" si="63"/>
        <v>-</v>
      </c>
      <c r="AQ300" s="375" t="e">
        <f t="shared" si="102"/>
        <v>#VALUE!</v>
      </c>
      <c r="AR300" s="375">
        <f t="shared" si="99"/>
      </c>
    </row>
    <row r="301" spans="1:44" s="380" customFormat="1" ht="13.5" customHeight="1">
      <c r="A301" s="375" t="str">
        <f>IF(ISBLANK(F301)=TRUE," ",IF(ISBLANK('様式2'!$C$23)=TRUE," ",'様式2'!$C$23))</f>
        <v> </v>
      </c>
      <c r="B301" s="375" t="e">
        <f>LOOKUP(LOOKUP(C301,'様式3'!$A$5:$A$44,'様式3'!$C$5:$C$44),'産業分類表'!$D$2:$D$68,'産業分類表'!$E$2:$E$68)</f>
        <v>#N/A</v>
      </c>
      <c r="C301" s="343"/>
      <c r="D301" s="343"/>
      <c r="E301" s="343"/>
      <c r="F301" s="343"/>
      <c r="G301" s="341"/>
      <c r="H301" s="349"/>
      <c r="I301" s="343"/>
      <c r="J301" s="343"/>
      <c r="K301" s="342"/>
      <c r="L301" s="350"/>
      <c r="M301" s="351"/>
      <c r="N301" s="343"/>
      <c r="O301" s="354">
        <f t="shared" si="103"/>
      </c>
      <c r="P301" s="354">
        <f t="shared" si="104"/>
      </c>
      <c r="Q301" s="389"/>
      <c r="R301" s="376">
        <f t="shared" si="100"/>
      </c>
      <c r="S301" s="376">
        <f t="shared" si="101"/>
      </c>
      <c r="T301" s="352"/>
      <c r="U301" s="353"/>
      <c r="V301" s="352"/>
      <c r="W301" s="343"/>
      <c r="X301" s="388">
        <f t="shared" si="97"/>
      </c>
      <c r="Y301" s="375" t="e">
        <f t="shared" si="92"/>
        <v>#N/A</v>
      </c>
      <c r="Z301" s="375" t="e">
        <f t="shared" si="93"/>
        <v>#N/A</v>
      </c>
      <c r="AA301" s="375">
        <f t="shared" si="98"/>
      </c>
      <c r="AB301" s="377">
        <f t="shared" si="54"/>
        <v>1</v>
      </c>
      <c r="AC301" s="375" t="str">
        <f t="shared" si="55"/>
        <v> </v>
      </c>
      <c r="AD301" s="375" t="e">
        <f t="shared" si="56"/>
        <v>#N/A</v>
      </c>
      <c r="AE301" s="375" t="str">
        <f t="shared" si="57"/>
        <v> </v>
      </c>
      <c r="AF301" s="375" t="e">
        <f t="shared" si="94"/>
        <v>#N/A</v>
      </c>
      <c r="AG301" s="378" t="str">
        <f t="shared" si="58"/>
        <v> </v>
      </c>
      <c r="AH301" s="379" t="e">
        <f t="shared" si="59"/>
        <v>#VALUE!</v>
      </c>
      <c r="AI301" s="378" t="e">
        <f t="shared" si="105"/>
        <v>#VALUE!</v>
      </c>
      <c r="AJ301" s="375" t="e">
        <f t="shared" si="61"/>
        <v>#N/A</v>
      </c>
      <c r="AK301" s="375" t="e">
        <f>VLOOKUP(AJ301,'排出係数表'!$A$4:$C$202,2,FALSE)</f>
        <v>#N/A</v>
      </c>
      <c r="AL301" s="375" t="e">
        <f t="shared" si="95"/>
        <v>#N/A</v>
      </c>
      <c r="AM301" s="375" t="e">
        <f>VLOOKUP(AJ301,'排出係数表'!$A$4:$C$202,3,FALSE)</f>
        <v>#N/A</v>
      </c>
      <c r="AN301" s="375" t="e">
        <f t="shared" si="96"/>
        <v>#N/A</v>
      </c>
      <c r="AO301" s="375">
        <f t="shared" si="62"/>
      </c>
      <c r="AP301" s="379" t="str">
        <f t="shared" si="63"/>
        <v>-</v>
      </c>
      <c r="AQ301" s="375" t="e">
        <f t="shared" si="102"/>
        <v>#VALUE!</v>
      </c>
      <c r="AR301" s="375">
        <f t="shared" si="99"/>
      </c>
    </row>
    <row r="302" spans="1:44" s="380" customFormat="1" ht="13.5" customHeight="1">
      <c r="A302" s="375" t="str">
        <f>IF(ISBLANK(F302)=TRUE," ",IF(ISBLANK('様式2'!$C$23)=TRUE," ",'様式2'!$C$23))</f>
        <v> </v>
      </c>
      <c r="B302" s="375" t="e">
        <f>LOOKUP(LOOKUP(C302,'様式3'!$A$5:$A$44,'様式3'!$C$5:$C$44),'産業分類表'!$D$2:$D$68,'産業分類表'!$E$2:$E$68)</f>
        <v>#N/A</v>
      </c>
      <c r="C302" s="343"/>
      <c r="D302" s="343"/>
      <c r="E302" s="343"/>
      <c r="F302" s="343"/>
      <c r="G302" s="341"/>
      <c r="H302" s="349"/>
      <c r="I302" s="343"/>
      <c r="J302" s="343"/>
      <c r="K302" s="342"/>
      <c r="L302" s="350"/>
      <c r="M302" s="351"/>
      <c r="N302" s="343"/>
      <c r="O302" s="354">
        <f t="shared" si="103"/>
      </c>
      <c r="P302" s="354">
        <f t="shared" si="104"/>
      </c>
      <c r="Q302" s="389"/>
      <c r="R302" s="376">
        <f t="shared" si="100"/>
      </c>
      <c r="S302" s="376">
        <f t="shared" si="101"/>
      </c>
      <c r="T302" s="352"/>
      <c r="U302" s="353"/>
      <c r="V302" s="352"/>
      <c r="W302" s="343"/>
      <c r="X302" s="388">
        <f t="shared" si="97"/>
      </c>
      <c r="Y302" s="375" t="e">
        <f t="shared" si="92"/>
        <v>#N/A</v>
      </c>
      <c r="Z302" s="375" t="e">
        <f t="shared" si="93"/>
        <v>#N/A</v>
      </c>
      <c r="AA302" s="375">
        <f t="shared" si="98"/>
      </c>
      <c r="AB302" s="377">
        <f t="shared" si="54"/>
        <v>1</v>
      </c>
      <c r="AC302" s="375" t="str">
        <f t="shared" si="55"/>
        <v> </v>
      </c>
      <c r="AD302" s="375" t="e">
        <f t="shared" si="56"/>
        <v>#N/A</v>
      </c>
      <c r="AE302" s="375" t="str">
        <f t="shared" si="57"/>
        <v> </v>
      </c>
      <c r="AF302" s="375" t="e">
        <f t="shared" si="94"/>
        <v>#N/A</v>
      </c>
      <c r="AG302" s="378" t="str">
        <f t="shared" si="58"/>
        <v> </v>
      </c>
      <c r="AH302" s="379" t="e">
        <f t="shared" si="59"/>
        <v>#VALUE!</v>
      </c>
      <c r="AI302" s="378" t="e">
        <f t="shared" si="105"/>
        <v>#VALUE!</v>
      </c>
      <c r="AJ302" s="375" t="e">
        <f t="shared" si="61"/>
        <v>#N/A</v>
      </c>
      <c r="AK302" s="375" t="e">
        <f>VLOOKUP(AJ302,'排出係数表'!$A$4:$C$202,2,FALSE)</f>
        <v>#N/A</v>
      </c>
      <c r="AL302" s="375" t="e">
        <f t="shared" si="95"/>
        <v>#N/A</v>
      </c>
      <c r="AM302" s="375" t="e">
        <f>VLOOKUP(AJ302,'排出係数表'!$A$4:$C$202,3,FALSE)</f>
        <v>#N/A</v>
      </c>
      <c r="AN302" s="375" t="e">
        <f t="shared" si="96"/>
        <v>#N/A</v>
      </c>
      <c r="AO302" s="375">
        <f t="shared" si="62"/>
      </c>
      <c r="AP302" s="379" t="str">
        <f t="shared" si="63"/>
        <v>-</v>
      </c>
      <c r="AQ302" s="375" t="e">
        <f t="shared" si="102"/>
        <v>#VALUE!</v>
      </c>
      <c r="AR302" s="375">
        <f t="shared" si="99"/>
      </c>
    </row>
    <row r="303" spans="1:44" s="380" customFormat="1" ht="13.5" customHeight="1">
      <c r="A303" s="375" t="str">
        <f>IF(ISBLANK(F303)=TRUE," ",IF(ISBLANK('様式2'!$C$23)=TRUE," ",'様式2'!$C$23))</f>
        <v> </v>
      </c>
      <c r="B303" s="375" t="e">
        <f>LOOKUP(LOOKUP(C303,'様式3'!$A$5:$A$44,'様式3'!$C$5:$C$44),'産業分類表'!$D$2:$D$68,'産業分類表'!$E$2:$E$68)</f>
        <v>#N/A</v>
      </c>
      <c r="C303" s="343"/>
      <c r="D303" s="343"/>
      <c r="E303" s="343"/>
      <c r="F303" s="343"/>
      <c r="G303" s="341"/>
      <c r="H303" s="349"/>
      <c r="I303" s="343"/>
      <c r="J303" s="343"/>
      <c r="K303" s="342"/>
      <c r="L303" s="350"/>
      <c r="M303" s="351"/>
      <c r="N303" s="343"/>
      <c r="O303" s="354">
        <f t="shared" si="103"/>
      </c>
      <c r="P303" s="354">
        <f t="shared" si="104"/>
      </c>
      <c r="Q303" s="389"/>
      <c r="R303" s="376">
        <f t="shared" si="100"/>
      </c>
      <c r="S303" s="376">
        <f t="shared" si="101"/>
      </c>
      <c r="T303" s="352"/>
      <c r="U303" s="353"/>
      <c r="V303" s="352"/>
      <c r="W303" s="343"/>
      <c r="X303" s="388">
        <f t="shared" si="97"/>
      </c>
      <c r="Y303" s="375" t="e">
        <f t="shared" si="92"/>
        <v>#N/A</v>
      </c>
      <c r="Z303" s="375" t="e">
        <f t="shared" si="93"/>
        <v>#N/A</v>
      </c>
      <c r="AA303" s="375">
        <f t="shared" si="98"/>
      </c>
      <c r="AB303" s="377">
        <f t="shared" si="54"/>
        <v>1</v>
      </c>
      <c r="AC303" s="375" t="str">
        <f t="shared" si="55"/>
        <v> </v>
      </c>
      <c r="AD303" s="375" t="e">
        <f t="shared" si="56"/>
        <v>#N/A</v>
      </c>
      <c r="AE303" s="375" t="str">
        <f t="shared" si="57"/>
        <v> </v>
      </c>
      <c r="AF303" s="375" t="e">
        <f t="shared" si="94"/>
        <v>#N/A</v>
      </c>
      <c r="AG303" s="378" t="str">
        <f t="shared" si="58"/>
        <v> </v>
      </c>
      <c r="AH303" s="379" t="e">
        <f t="shared" si="59"/>
        <v>#VALUE!</v>
      </c>
      <c r="AI303" s="378" t="e">
        <f t="shared" si="105"/>
        <v>#VALUE!</v>
      </c>
      <c r="AJ303" s="375" t="e">
        <f t="shared" si="61"/>
        <v>#N/A</v>
      </c>
      <c r="AK303" s="375" t="e">
        <f>VLOOKUP(AJ303,'排出係数表'!$A$4:$C$202,2,FALSE)</f>
        <v>#N/A</v>
      </c>
      <c r="AL303" s="375" t="e">
        <f t="shared" si="95"/>
        <v>#N/A</v>
      </c>
      <c r="AM303" s="375" t="e">
        <f>VLOOKUP(AJ303,'排出係数表'!$A$4:$C$202,3,FALSE)</f>
        <v>#N/A</v>
      </c>
      <c r="AN303" s="375" t="e">
        <f t="shared" si="96"/>
        <v>#N/A</v>
      </c>
      <c r="AO303" s="375">
        <f t="shared" si="62"/>
      </c>
      <c r="AP303" s="379" t="str">
        <f t="shared" si="63"/>
        <v>-</v>
      </c>
      <c r="AQ303" s="375" t="e">
        <f t="shared" si="102"/>
        <v>#VALUE!</v>
      </c>
      <c r="AR303" s="375">
        <f t="shared" si="99"/>
      </c>
    </row>
    <row r="304" spans="18:55" ht="13.5">
      <c r="R304" s="386"/>
      <c r="S304" s="386"/>
      <c r="AT304" s="380"/>
      <c r="AU304" s="380"/>
      <c r="AV304" s="380"/>
      <c r="AW304" s="380"/>
      <c r="AX304" s="380"/>
      <c r="AY304" s="380"/>
      <c r="AZ304" s="380"/>
      <c r="BA304" s="380"/>
      <c r="BB304" s="380"/>
      <c r="BC304" s="380"/>
    </row>
    <row r="305" spans="11:52" ht="13.5" hidden="1">
      <c r="K305" s="380"/>
      <c r="L305" s="380" t="s">
        <v>341</v>
      </c>
      <c r="M305" s="380" t="s">
        <v>342</v>
      </c>
      <c r="N305" s="380"/>
      <c r="AT305" s="380"/>
      <c r="AU305" s="380"/>
      <c r="AV305" s="380"/>
      <c r="AW305" s="380"/>
      <c r="AX305" s="380"/>
      <c r="AY305" s="380"/>
      <c r="AZ305" s="380"/>
    </row>
    <row r="306" spans="11:51" ht="13.5" hidden="1">
      <c r="K306" s="380" t="s">
        <v>628</v>
      </c>
      <c r="L306" s="380" t="s">
        <v>467</v>
      </c>
      <c r="M306" s="380" t="s">
        <v>467</v>
      </c>
      <c r="N306" s="380"/>
      <c r="AT306" s="380"/>
      <c r="AU306" s="380"/>
      <c r="AV306" s="380"/>
      <c r="AW306" s="380"/>
      <c r="AX306" s="380"/>
      <c r="AY306" s="380"/>
    </row>
    <row r="307" spans="11:51" ht="13.5" hidden="1">
      <c r="K307" s="380" t="s">
        <v>629</v>
      </c>
      <c r="L307" s="380" t="s">
        <v>467</v>
      </c>
      <c r="M307" s="380" t="s">
        <v>433</v>
      </c>
      <c r="N307" s="380"/>
      <c r="AT307" s="380"/>
      <c r="AU307" s="380"/>
      <c r="AV307" s="380"/>
      <c r="AW307" s="380"/>
      <c r="AX307" s="380"/>
      <c r="AY307" s="380"/>
    </row>
    <row r="308" spans="11:51" ht="13.5" hidden="1">
      <c r="K308" s="380" t="s">
        <v>656</v>
      </c>
      <c r="L308" s="380" t="s">
        <v>467</v>
      </c>
      <c r="M308" s="380" t="s">
        <v>346</v>
      </c>
      <c r="N308" s="380"/>
      <c r="AT308" s="380"/>
      <c r="AU308" s="380"/>
      <c r="AV308" s="380"/>
      <c r="AW308" s="380"/>
      <c r="AY308" s="380"/>
    </row>
    <row r="309" spans="11:51" ht="13.5" hidden="1">
      <c r="K309" s="380" t="s">
        <v>359</v>
      </c>
      <c r="L309" s="380" t="s">
        <v>466</v>
      </c>
      <c r="M309" s="380" t="s">
        <v>466</v>
      </c>
      <c r="N309" s="380"/>
      <c r="AT309" s="380"/>
      <c r="AU309" s="380"/>
      <c r="AV309" s="380"/>
      <c r="AW309" s="380"/>
      <c r="AY309" s="380"/>
    </row>
    <row r="310" spans="11:51" ht="13.5" hidden="1">
      <c r="K310" s="380" t="s">
        <v>368</v>
      </c>
      <c r="L310" s="380" t="s">
        <v>466</v>
      </c>
      <c r="M310" s="380" t="s">
        <v>466</v>
      </c>
      <c r="N310" s="380"/>
      <c r="AU310" s="380"/>
      <c r="AV310" s="380"/>
      <c r="AW310" s="380"/>
      <c r="AY310" s="380"/>
    </row>
    <row r="311" spans="11:51" ht="13.5" hidden="1">
      <c r="K311" s="380" t="s">
        <v>369</v>
      </c>
      <c r="L311" s="380" t="s">
        <v>467</v>
      </c>
      <c r="M311" s="380" t="s">
        <v>467</v>
      </c>
      <c r="N311" s="380"/>
      <c r="AW311" s="380"/>
      <c r="AY311" s="380"/>
    </row>
    <row r="312" spans="11:49" ht="13.5" hidden="1">
      <c r="K312" s="380" t="s">
        <v>370</v>
      </c>
      <c r="L312" s="380" t="s">
        <v>467</v>
      </c>
      <c r="M312" s="380" t="s">
        <v>433</v>
      </c>
      <c r="N312" s="380"/>
      <c r="AW312" s="380"/>
    </row>
    <row r="313" spans="11:49" ht="13.5" hidden="1">
      <c r="K313" s="380" t="s">
        <v>371</v>
      </c>
      <c r="L313" s="380" t="s">
        <v>467</v>
      </c>
      <c r="M313" s="380" t="s">
        <v>356</v>
      </c>
      <c r="N313" s="380"/>
      <c r="AW313" s="380"/>
    </row>
    <row r="314" spans="11:49" ht="13.5" hidden="1">
      <c r="K314" s="380"/>
      <c r="L314" s="380"/>
      <c r="M314" s="380"/>
      <c r="N314" s="380"/>
      <c r="AW314" s="380"/>
    </row>
    <row r="315" spans="11:14" ht="13.5" hidden="1">
      <c r="K315" s="380" t="s">
        <v>461</v>
      </c>
      <c r="L315" s="380">
        <v>1</v>
      </c>
      <c r="M315" s="380"/>
      <c r="N315" s="380"/>
    </row>
    <row r="316" spans="11:14" ht="13.5" hidden="1">
      <c r="K316" s="380" t="s">
        <v>462</v>
      </c>
      <c r="L316" s="380">
        <v>2</v>
      </c>
      <c r="M316" s="380"/>
      <c r="N316" s="380"/>
    </row>
    <row r="317" spans="11:14" ht="13.5" hidden="1">
      <c r="K317" s="380" t="s">
        <v>463</v>
      </c>
      <c r="L317" s="380">
        <v>3</v>
      </c>
      <c r="M317" s="380"/>
      <c r="N317" s="380"/>
    </row>
    <row r="318" spans="11:14" ht="13.5" hidden="1">
      <c r="K318" s="380" t="s">
        <v>464</v>
      </c>
      <c r="L318" s="380">
        <v>4</v>
      </c>
      <c r="M318" s="380"/>
      <c r="N318" s="380"/>
    </row>
    <row r="319" spans="11:14" ht="13.5" hidden="1">
      <c r="K319" s="380"/>
      <c r="L319" s="380"/>
      <c r="M319" s="380" t="s">
        <v>364</v>
      </c>
      <c r="N319" s="380" t="s">
        <v>365</v>
      </c>
    </row>
    <row r="320" spans="11:14" ht="13.5" hidden="1">
      <c r="K320" s="381" t="s">
        <v>12</v>
      </c>
      <c r="L320" s="380" t="s">
        <v>700</v>
      </c>
      <c r="M320" s="380">
        <v>1</v>
      </c>
      <c r="N320" s="380">
        <v>0</v>
      </c>
    </row>
    <row r="321" spans="11:14" ht="13.5" hidden="1">
      <c r="K321" s="383" t="s">
        <v>23</v>
      </c>
      <c r="L321" s="380" t="s">
        <v>362</v>
      </c>
      <c r="M321" s="380">
        <v>0.5</v>
      </c>
      <c r="N321" s="380">
        <v>0</v>
      </c>
    </row>
    <row r="322" spans="11:14" ht="13.5" hidden="1">
      <c r="K322" s="383" t="s">
        <v>360</v>
      </c>
      <c r="L322" s="380" t="s">
        <v>468</v>
      </c>
      <c r="M322" s="380">
        <v>0.8</v>
      </c>
      <c r="N322" s="380">
        <v>0.8</v>
      </c>
    </row>
    <row r="323" spans="11:14" ht="13.5" hidden="1">
      <c r="K323" s="383" t="s">
        <v>361</v>
      </c>
      <c r="L323" s="380" t="s">
        <v>627</v>
      </c>
      <c r="M323" s="380">
        <v>0</v>
      </c>
      <c r="N323" s="380">
        <v>0</v>
      </c>
    </row>
    <row r="324" spans="11:14" ht="13.5" hidden="1">
      <c r="K324" s="383" t="s">
        <v>24</v>
      </c>
      <c r="L324" s="380" t="s">
        <v>384</v>
      </c>
      <c r="M324" s="380">
        <v>0.5</v>
      </c>
      <c r="N324" s="380">
        <v>0</v>
      </c>
    </row>
    <row r="325" spans="11:14" ht="13.5" hidden="1">
      <c r="K325" s="383" t="s">
        <v>13</v>
      </c>
      <c r="L325" s="380" t="s">
        <v>363</v>
      </c>
      <c r="M325" s="380">
        <v>0.25</v>
      </c>
      <c r="N325" s="380">
        <v>0</v>
      </c>
    </row>
    <row r="326" spans="11:14" ht="13.5" hidden="1">
      <c r="K326" s="383" t="s">
        <v>14</v>
      </c>
      <c r="L326" s="380" t="s">
        <v>363</v>
      </c>
      <c r="M326" s="380">
        <v>0.25</v>
      </c>
      <c r="N326" s="380">
        <v>0</v>
      </c>
    </row>
    <row r="327" spans="11:14" ht="13.5" hidden="1">
      <c r="K327" s="383" t="s">
        <v>15</v>
      </c>
      <c r="L327" s="380" t="s">
        <v>363</v>
      </c>
      <c r="M327" s="380">
        <v>0.5</v>
      </c>
      <c r="N327" s="380">
        <v>0</v>
      </c>
    </row>
    <row r="328" spans="11:14" ht="13.5" hidden="1">
      <c r="K328" s="383" t="s">
        <v>16</v>
      </c>
      <c r="L328" s="380" t="s">
        <v>363</v>
      </c>
      <c r="M328" s="380">
        <v>0.5</v>
      </c>
      <c r="N328" s="380">
        <v>0</v>
      </c>
    </row>
    <row r="329" spans="11:14" ht="13.5" hidden="1">
      <c r="K329" s="383" t="s">
        <v>17</v>
      </c>
      <c r="L329" s="380" t="s">
        <v>363</v>
      </c>
      <c r="M329" s="380">
        <v>0.75</v>
      </c>
      <c r="N329" s="380">
        <v>0</v>
      </c>
    </row>
    <row r="330" spans="11:14" ht="13.5" hidden="1">
      <c r="K330" s="383" t="s">
        <v>18</v>
      </c>
      <c r="L330" s="380" t="s">
        <v>363</v>
      </c>
      <c r="M330" s="380">
        <v>0.75</v>
      </c>
      <c r="N330" s="380">
        <v>0</v>
      </c>
    </row>
    <row r="331" spans="11:14" ht="13.5" hidden="1">
      <c r="K331" s="383" t="s">
        <v>19</v>
      </c>
      <c r="L331" s="380" t="s">
        <v>363</v>
      </c>
      <c r="M331" s="380">
        <v>1</v>
      </c>
      <c r="N331" s="380">
        <v>0</v>
      </c>
    </row>
    <row r="332" spans="11:14" ht="13.5" hidden="1">
      <c r="K332" s="383" t="s">
        <v>20</v>
      </c>
      <c r="L332" s="380" t="s">
        <v>363</v>
      </c>
      <c r="M332" s="380">
        <v>1</v>
      </c>
      <c r="N332" s="380">
        <v>0</v>
      </c>
    </row>
    <row r="333" spans="11:14" ht="13.5" hidden="1">
      <c r="K333" s="383" t="s">
        <v>442</v>
      </c>
      <c r="L333" s="380" t="s">
        <v>363</v>
      </c>
      <c r="M333" s="380">
        <v>1</v>
      </c>
      <c r="N333" s="380">
        <v>0</v>
      </c>
    </row>
    <row r="334" spans="11:14" ht="13.5" hidden="1">
      <c r="K334" s="383" t="s">
        <v>21</v>
      </c>
      <c r="L334" s="380" t="s">
        <v>347</v>
      </c>
      <c r="M334" s="380">
        <v>1</v>
      </c>
      <c r="N334" s="380">
        <v>0</v>
      </c>
    </row>
    <row r="335" spans="11:14" ht="13.5" hidden="1">
      <c r="K335" s="383" t="s">
        <v>22</v>
      </c>
      <c r="L335" s="380" t="s">
        <v>468</v>
      </c>
      <c r="M335" s="380">
        <v>1</v>
      </c>
      <c r="N335" s="380">
        <v>1</v>
      </c>
    </row>
    <row r="336" spans="11:14" ht="13.5" hidden="1">
      <c r="K336" s="383" t="s">
        <v>658</v>
      </c>
      <c r="L336" s="380" t="s">
        <v>468</v>
      </c>
      <c r="M336" s="380">
        <v>1</v>
      </c>
      <c r="N336" s="380">
        <v>1</v>
      </c>
    </row>
    <row r="337" spans="11:14" ht="13.5" hidden="1">
      <c r="K337" s="383"/>
      <c r="L337" s="380"/>
      <c r="M337" s="380"/>
      <c r="N337" s="380"/>
    </row>
    <row r="338" spans="11:14" ht="13.5" hidden="1">
      <c r="K338" s="385" t="s">
        <v>592</v>
      </c>
      <c r="L338" s="380"/>
      <c r="M338" s="380" t="s">
        <v>593</v>
      </c>
      <c r="N338" s="380"/>
    </row>
    <row r="339" spans="11:14" ht="13.5" hidden="1">
      <c r="K339" s="385" t="s">
        <v>591</v>
      </c>
      <c r="L339" s="380"/>
      <c r="M339" s="380" t="s">
        <v>348</v>
      </c>
      <c r="N339" s="380"/>
    </row>
    <row r="340" spans="11:14" ht="13.5" hidden="1">
      <c r="K340" s="385" t="s">
        <v>590</v>
      </c>
      <c r="L340" s="380"/>
      <c r="M340" s="380" t="s">
        <v>349</v>
      </c>
      <c r="N340" s="380"/>
    </row>
    <row r="341" spans="11:14" ht="13.5" hidden="1">
      <c r="K341" s="385" t="s">
        <v>589</v>
      </c>
      <c r="L341" s="380"/>
      <c r="M341" s="380" t="s">
        <v>350</v>
      </c>
      <c r="N341" s="380"/>
    </row>
    <row r="342" spans="11:14" ht="13.5" hidden="1">
      <c r="K342" s="385" t="s">
        <v>588</v>
      </c>
      <c r="L342" s="380"/>
      <c r="M342" s="380" t="s">
        <v>351</v>
      </c>
      <c r="N342" s="380"/>
    </row>
    <row r="343" spans="11:14" ht="13.5" hidden="1">
      <c r="K343" s="385" t="s">
        <v>587</v>
      </c>
      <c r="L343" s="380"/>
      <c r="M343" s="380" t="s">
        <v>352</v>
      </c>
      <c r="N343" s="380"/>
    </row>
    <row r="344" spans="11:14" ht="13.5" hidden="1">
      <c r="K344" s="385" t="s">
        <v>586</v>
      </c>
      <c r="L344" s="380"/>
      <c r="M344" s="380" t="s">
        <v>353</v>
      </c>
      <c r="N344" s="380"/>
    </row>
    <row r="345" spans="11:14" ht="13.5" hidden="1">
      <c r="K345" s="385" t="s">
        <v>585</v>
      </c>
      <c r="L345" s="380"/>
      <c r="M345" s="380" t="s">
        <v>354</v>
      </c>
      <c r="N345" s="380"/>
    </row>
    <row r="346" spans="11:14" ht="13.5" hidden="1">
      <c r="K346" s="385" t="s">
        <v>584</v>
      </c>
      <c r="L346" s="380"/>
      <c r="M346" s="380" t="s">
        <v>355</v>
      </c>
      <c r="N346" s="380"/>
    </row>
    <row r="347" spans="11:14" ht="13.5" hidden="1">
      <c r="K347" s="385" t="s">
        <v>583</v>
      </c>
      <c r="L347" s="380"/>
      <c r="M347" s="380" t="s">
        <v>559</v>
      </c>
      <c r="N347" s="380"/>
    </row>
    <row r="348" spans="11:14" ht="13.5" hidden="1">
      <c r="K348" s="385" t="s">
        <v>582</v>
      </c>
      <c r="L348" s="380"/>
      <c r="M348" s="380" t="s">
        <v>560</v>
      </c>
      <c r="N348" s="380"/>
    </row>
    <row r="349" spans="11:14" ht="13.5" hidden="1">
      <c r="K349" s="385" t="s">
        <v>581</v>
      </c>
      <c r="L349" s="380"/>
      <c r="M349" s="380" t="s">
        <v>561</v>
      </c>
      <c r="N349" s="380"/>
    </row>
    <row r="350" spans="11:14" ht="13.5" hidden="1">
      <c r="K350" s="385" t="s">
        <v>580</v>
      </c>
      <c r="L350" s="380"/>
      <c r="M350" s="380"/>
      <c r="N350" s="380"/>
    </row>
    <row r="351" spans="11:14" ht="13.5" hidden="1">
      <c r="K351" s="385" t="s">
        <v>579</v>
      </c>
      <c r="L351" s="380"/>
      <c r="M351" s="380"/>
      <c r="N351" s="380"/>
    </row>
    <row r="352" spans="11:14" ht="13.5" hidden="1">
      <c r="K352" s="385" t="s">
        <v>578</v>
      </c>
      <c r="L352" s="380"/>
      <c r="M352" s="380"/>
      <c r="N352" s="380"/>
    </row>
    <row r="353" spans="11:14" ht="13.5" hidden="1">
      <c r="K353" s="385" t="s">
        <v>577</v>
      </c>
      <c r="L353" s="380"/>
      <c r="M353" s="380"/>
      <c r="N353" s="380"/>
    </row>
    <row r="354" spans="11:14" ht="13.5" hidden="1">
      <c r="K354" s="385" t="s">
        <v>576</v>
      </c>
      <c r="L354" s="380"/>
      <c r="M354" s="380"/>
      <c r="N354" s="380"/>
    </row>
    <row r="355" spans="11:14" ht="13.5" hidden="1">
      <c r="K355" s="385" t="s">
        <v>575</v>
      </c>
      <c r="L355" s="380"/>
      <c r="M355" s="380"/>
      <c r="N355" s="380"/>
    </row>
    <row r="356" spans="11:14" ht="13.5" hidden="1">
      <c r="K356" s="385" t="s">
        <v>574</v>
      </c>
      <c r="L356" s="380"/>
      <c r="M356" s="380"/>
      <c r="N356" s="380"/>
    </row>
    <row r="357" spans="11:14" ht="13.5" hidden="1">
      <c r="K357" s="385" t="s">
        <v>572</v>
      </c>
      <c r="L357" s="380"/>
      <c r="M357" s="380"/>
      <c r="N357" s="380"/>
    </row>
    <row r="358" spans="11:14" ht="13.5" hidden="1">
      <c r="K358" s="385" t="s">
        <v>571</v>
      </c>
      <c r="L358" s="380"/>
      <c r="M358" s="380"/>
      <c r="N358" s="380"/>
    </row>
    <row r="359" spans="11:14" ht="13.5" hidden="1">
      <c r="K359" s="385" t="s">
        <v>570</v>
      </c>
      <c r="L359" s="380"/>
      <c r="M359" s="380"/>
      <c r="N359" s="380"/>
    </row>
    <row r="360" spans="11:14" ht="13.5" hidden="1">
      <c r="K360" s="385" t="s">
        <v>569</v>
      </c>
      <c r="L360" s="380"/>
      <c r="M360" s="380"/>
      <c r="N360" s="380"/>
    </row>
    <row r="361" spans="11:14" ht="13.5" hidden="1">
      <c r="K361" s="385" t="s">
        <v>568</v>
      </c>
      <c r="L361" s="380"/>
      <c r="M361" s="380"/>
      <c r="N361" s="380"/>
    </row>
    <row r="362" spans="11:14" ht="13.5" hidden="1">
      <c r="K362" s="385" t="s">
        <v>567</v>
      </c>
      <c r="L362" s="380"/>
      <c r="M362" s="380"/>
      <c r="N362" s="380"/>
    </row>
    <row r="363" spans="11:14" ht="13.5" hidden="1">
      <c r="K363" s="385" t="s">
        <v>566</v>
      </c>
      <c r="L363" s="380"/>
      <c r="M363" s="380"/>
      <c r="N363" s="380"/>
    </row>
    <row r="364" spans="11:14" ht="13.5" hidden="1">
      <c r="K364" s="385" t="s">
        <v>565</v>
      </c>
      <c r="L364" s="380"/>
      <c r="M364" s="380"/>
      <c r="N364" s="380"/>
    </row>
    <row r="365" spans="11:14" ht="13.5" hidden="1">
      <c r="K365" s="385" t="s">
        <v>563</v>
      </c>
      <c r="L365" s="380"/>
      <c r="M365" s="380"/>
      <c r="N365" s="380"/>
    </row>
    <row r="366" spans="11:14" ht="13.5" hidden="1">
      <c r="K366" s="385" t="s">
        <v>564</v>
      </c>
      <c r="L366" s="380"/>
      <c r="M366" s="380"/>
      <c r="N366" s="380"/>
    </row>
    <row r="367" spans="11:14" ht="13.5" hidden="1">
      <c r="K367" s="385"/>
      <c r="L367" s="380"/>
      <c r="M367" s="380"/>
      <c r="N367" s="380"/>
    </row>
    <row r="368" spans="11:14" ht="13.5" hidden="1">
      <c r="K368" s="385" t="s">
        <v>375</v>
      </c>
      <c r="L368" s="380"/>
      <c r="M368" s="380"/>
      <c r="N368" s="380"/>
    </row>
    <row r="369" spans="11:14" ht="13.5" hidden="1">
      <c r="K369" s="385" t="s">
        <v>376</v>
      </c>
      <c r="L369" s="380"/>
      <c r="M369" s="380"/>
      <c r="N369" s="380"/>
    </row>
    <row r="370" spans="11:14" ht="13.5" hidden="1">
      <c r="K370" s="385" t="s">
        <v>377</v>
      </c>
      <c r="L370" s="380"/>
      <c r="M370" s="380"/>
      <c r="N370" s="380"/>
    </row>
    <row r="371" spans="11:14" ht="13.5" hidden="1">
      <c r="K371" s="385" t="s">
        <v>378</v>
      </c>
      <c r="L371" s="380"/>
      <c r="M371" s="380"/>
      <c r="N371" s="380"/>
    </row>
    <row r="372" spans="11:14" ht="13.5" hidden="1">
      <c r="K372" s="380"/>
      <c r="L372" s="380"/>
      <c r="M372" s="380"/>
      <c r="N372" s="380"/>
    </row>
    <row r="373" spans="11:14" ht="13.5" hidden="1">
      <c r="K373" s="381" t="s">
        <v>12</v>
      </c>
      <c r="L373" s="380"/>
      <c r="M373" s="380"/>
      <c r="N373" s="380"/>
    </row>
    <row r="374" spans="11:14" ht="13.5" hidden="1">
      <c r="K374" s="383" t="s">
        <v>23</v>
      </c>
      <c r="L374" s="380"/>
      <c r="M374" s="380"/>
      <c r="N374" s="380"/>
    </row>
    <row r="375" spans="11:14" ht="13.5" hidden="1">
      <c r="K375" s="383" t="s">
        <v>360</v>
      </c>
      <c r="L375" s="380"/>
      <c r="M375" s="380"/>
      <c r="N375" s="380"/>
    </row>
    <row r="376" spans="11:14" ht="13.5" hidden="1">
      <c r="K376" s="383" t="s">
        <v>361</v>
      </c>
      <c r="L376" s="380"/>
      <c r="M376" s="380"/>
      <c r="N376" s="380"/>
    </row>
    <row r="377" spans="11:14" ht="13.5" hidden="1">
      <c r="K377" s="383" t="s">
        <v>24</v>
      </c>
      <c r="L377" s="380"/>
      <c r="M377" s="380"/>
      <c r="N377" s="380"/>
    </row>
    <row r="378" spans="11:14" ht="13.5" hidden="1">
      <c r="K378" s="383" t="s">
        <v>13</v>
      </c>
      <c r="L378" s="380"/>
      <c r="M378" s="380"/>
      <c r="N378" s="380"/>
    </row>
    <row r="379" spans="11:14" ht="13.5" hidden="1">
      <c r="K379" s="383" t="s">
        <v>14</v>
      </c>
      <c r="L379" s="380"/>
      <c r="M379" s="380"/>
      <c r="N379" s="380"/>
    </row>
    <row r="380" spans="11:14" ht="13.5" hidden="1">
      <c r="K380" s="383" t="s">
        <v>15</v>
      </c>
      <c r="L380" s="380"/>
      <c r="M380" s="380"/>
      <c r="N380" s="380"/>
    </row>
    <row r="381" spans="11:14" ht="13.5" hidden="1">
      <c r="K381" s="383" t="s">
        <v>16</v>
      </c>
      <c r="L381" s="380"/>
      <c r="M381" s="380"/>
      <c r="N381" s="380"/>
    </row>
    <row r="382" spans="11:14" ht="13.5" hidden="1">
      <c r="K382" s="383" t="s">
        <v>17</v>
      </c>
      <c r="L382" s="380"/>
      <c r="M382" s="380"/>
      <c r="N382" s="380"/>
    </row>
    <row r="383" spans="11:14" ht="13.5" hidden="1">
      <c r="K383" s="383" t="s">
        <v>18</v>
      </c>
      <c r="L383" s="380"/>
      <c r="M383" s="380"/>
      <c r="N383" s="380"/>
    </row>
    <row r="384" spans="11:14" ht="13.5" hidden="1">
      <c r="K384" s="383" t="s">
        <v>19</v>
      </c>
      <c r="L384" s="380"/>
      <c r="M384" s="380"/>
      <c r="N384" s="380"/>
    </row>
    <row r="385" spans="11:14" ht="13.5" hidden="1">
      <c r="K385" s="383" t="s">
        <v>20</v>
      </c>
      <c r="L385" s="380"/>
      <c r="M385" s="380"/>
      <c r="N385" s="380"/>
    </row>
    <row r="386" spans="11:14" ht="13.5" hidden="1">
      <c r="K386" s="383" t="s">
        <v>22</v>
      </c>
      <c r="L386" s="380"/>
      <c r="M386" s="380"/>
      <c r="N386" s="380"/>
    </row>
  </sheetData>
  <sheetProtection/>
  <mergeCells count="37">
    <mergeCell ref="X2:X3"/>
    <mergeCell ref="AQ2:AQ3"/>
    <mergeCell ref="AR2:AR3"/>
    <mergeCell ref="AM2:AM3"/>
    <mergeCell ref="AN2:AN3"/>
    <mergeCell ref="AO2:AO3"/>
    <mergeCell ref="AP2:AP3"/>
    <mergeCell ref="AI2:AI3"/>
    <mergeCell ref="AJ2:AJ3"/>
    <mergeCell ref="AK2:AK3"/>
    <mergeCell ref="AL2:AL3"/>
    <mergeCell ref="AE2:AE3"/>
    <mergeCell ref="AF2:AF3"/>
    <mergeCell ref="AG2:AG3"/>
    <mergeCell ref="AH2:AH3"/>
    <mergeCell ref="AA2:AA3"/>
    <mergeCell ref="AB2:AB3"/>
    <mergeCell ref="AC2:AC3"/>
    <mergeCell ref="AD2:AD3"/>
    <mergeCell ref="A2:A3"/>
    <mergeCell ref="B2:B3"/>
    <mergeCell ref="Y2:Y3"/>
    <mergeCell ref="Z2:Z3"/>
    <mergeCell ref="Q2:Q3"/>
    <mergeCell ref="T2:W2"/>
    <mergeCell ref="M2:M3"/>
    <mergeCell ref="N2:N3"/>
    <mergeCell ref="R2:S2"/>
    <mergeCell ref="C2:C3"/>
    <mergeCell ref="O2:P2"/>
    <mergeCell ref="D2:D3"/>
    <mergeCell ref="E2:E3"/>
    <mergeCell ref="K2:L2"/>
    <mergeCell ref="F2:F3"/>
    <mergeCell ref="G2:H2"/>
    <mergeCell ref="I2:I3"/>
    <mergeCell ref="J2:J3"/>
  </mergeCells>
  <dataValidations count="17">
    <dataValidation type="list" allowBlank="1" showInputMessage="1" showErrorMessage="1" sqref="F4:F303">
      <formula1>種類</formula1>
    </dataValidation>
    <dataValidation allowBlank="1" showInputMessage="1" showErrorMessage="1" imeMode="halfAlpha" sqref="AG4:AO303 AA4:AA303 O4:P303 B4:B303"/>
    <dataValidation type="whole" operator="greaterThan" allowBlank="1" showInputMessage="1" showErrorMessage="1" imeMode="halfAlpha" sqref="AB4:AB303">
      <formula1>0</formula1>
    </dataValidation>
    <dataValidation type="decimal" operator="greaterThanOrEqual" allowBlank="1" showInputMessage="1" showErrorMessage="1" imeMode="halfAlpha" sqref="Q4:Q303">
      <formula1>0</formula1>
    </dataValidation>
    <dataValidation type="list" allowBlank="1" showInputMessage="1" showErrorMessage="1" sqref="L4:L303">
      <formula1>月</formula1>
    </dataValidation>
    <dataValidation type="list" allowBlank="1" showInputMessage="1" showErrorMessage="1" sqref="U4:U303">
      <formula1>廃止予定年</formula1>
    </dataValidation>
    <dataValidation type="list" showInputMessage="1" showErrorMessage="1" imeMode="halfAlpha" sqref="H4:H303">
      <formula1>"改,"</formula1>
    </dataValidation>
    <dataValidation type="list" allowBlank="1" showInputMessage="1" showErrorMessage="1" sqref="M4:N303">
      <formula1>"有"</formula1>
    </dataValidation>
    <dataValidation type="list" allowBlank="1" showInputMessage="1" showErrorMessage="1" sqref="T4:T303">
      <formula1>"減車,更新,増車"</formula1>
    </dataValidation>
    <dataValidation type="list" allowBlank="1" showInputMessage="1" showErrorMessage="1" sqref="J4:J303">
      <formula1>燃料</formula1>
    </dataValidation>
    <dataValidation type="whole" operator="greaterThan" allowBlank="1" showInputMessage="1" showErrorMessage="1" imeMode="halfAlpha" sqref="I4:I303">
      <formula1>100</formula1>
    </dataValidation>
    <dataValidation type="list" allowBlank="1" showInputMessage="1" showErrorMessage="1" sqref="W4:W303">
      <formula1>低公害車等燃料</formula1>
    </dataValidation>
    <dataValidation type="list" allowBlank="1" showInputMessage="1" showErrorMessage="1" sqref="V4:V303">
      <formula1>"乗,貨1,貨2,貨3,小,バ,同車種"</formula1>
    </dataValidation>
    <dataValidation type="whole" operator="greaterThanOrEqual" allowBlank="1" showInputMessage="1" showErrorMessage="1" imeMode="halfAlpha" sqref="C4:D303">
      <formula1>1</formula1>
    </dataValidation>
    <dataValidation type="whole" allowBlank="1" showInputMessage="1" showErrorMessage="1" imeMode="halfAlpha" sqref="E4:E303">
      <formula1>1</formula1>
      <formula2>9999</formula2>
    </dataValidation>
    <dataValidation type="textLength" operator="greaterThanOrEqual" allowBlank="1" showInputMessage="1" showErrorMessage="1" imeMode="halfAlpha" sqref="G4:G303">
      <formula1>1</formula1>
    </dataValidation>
    <dataValidation type="list" allowBlank="1" showInputMessage="1" showErrorMessage="1" sqref="K4:K303">
      <formula1>$AZ$4:$AZ$35</formula1>
    </dataValidation>
  </dataValidations>
  <printOptions/>
  <pageMargins left="0.7874015748031497" right="0.7874015748031497" top="0.7874015748031497" bottom="0.7874015748031497" header="0.5118110236220472" footer="0.5118110236220472"/>
  <pageSetup horizontalDpi="300" verticalDpi="300" orientation="landscape" paperSize="9" scale="78" r:id="rId1"/>
  <headerFooter alignWithMargins="0">
    <oddHeader>&amp;R様式４</oddHeader>
  </headerFooter>
  <colBreaks count="1" manualBreakCount="1">
    <brk id="24" max="65535" man="1"/>
  </colBreaks>
</worksheet>
</file>

<file path=xl/worksheets/sheet5.xml><?xml version="1.0" encoding="utf-8"?>
<worksheet xmlns="http://schemas.openxmlformats.org/spreadsheetml/2006/main" xmlns:r="http://schemas.openxmlformats.org/officeDocument/2006/relationships">
  <dimension ref="A1:U39"/>
  <sheetViews>
    <sheetView workbookViewId="0" topLeftCell="A1">
      <selection activeCell="M28" sqref="M28:Q28"/>
    </sheetView>
  </sheetViews>
  <sheetFormatPr defaultColWidth="9.00390625" defaultRowHeight="13.5"/>
  <cols>
    <col min="1" max="1" width="2.875" style="110" customWidth="1"/>
    <col min="2" max="2" width="16.50390625" style="110" customWidth="1"/>
    <col min="3" max="3" width="6.25390625" style="110" customWidth="1"/>
    <col min="4" max="16" width="7.375" style="110" customWidth="1"/>
    <col min="17" max="17" width="6.25390625" style="110" customWidth="1"/>
    <col min="18" max="18" width="7.375" style="110" customWidth="1"/>
    <col min="19" max="19" width="7.50390625" style="110" customWidth="1"/>
    <col min="20" max="21" width="4.50390625" style="110" customWidth="1"/>
    <col min="22" max="22" width="4.125" style="110" customWidth="1"/>
    <col min="23" max="16384" width="4.50390625" style="110" customWidth="1"/>
  </cols>
  <sheetData>
    <row r="1" ht="14.25">
      <c r="A1" s="109" t="s">
        <v>920</v>
      </c>
    </row>
    <row r="2" spans="1:2" s="112" customFormat="1" ht="13.5">
      <c r="A2" s="111" t="s">
        <v>28</v>
      </c>
      <c r="B2" s="112" t="s">
        <v>402</v>
      </c>
    </row>
    <row r="3" spans="1:17" s="112" customFormat="1" ht="13.5">
      <c r="A3" s="111"/>
      <c r="B3" s="454" t="s">
        <v>326</v>
      </c>
      <c r="C3" s="455"/>
      <c r="D3" s="458" t="s">
        <v>435</v>
      </c>
      <c r="E3" s="459"/>
      <c r="F3" s="459"/>
      <c r="G3" s="459"/>
      <c r="H3" s="460"/>
      <c r="I3" s="458" t="s">
        <v>436</v>
      </c>
      <c r="J3" s="459"/>
      <c r="K3" s="459"/>
      <c r="L3" s="459"/>
      <c r="M3" s="459"/>
      <c r="N3" s="460"/>
      <c r="O3" s="458" t="s">
        <v>334</v>
      </c>
      <c r="P3" s="460"/>
      <c r="Q3" s="469" t="s">
        <v>594</v>
      </c>
    </row>
    <row r="4" spans="1:18" s="114" customFormat="1" ht="40.5" customHeight="1">
      <c r="A4" s="113"/>
      <c r="B4" s="456"/>
      <c r="C4" s="457"/>
      <c r="D4" s="339" t="s">
        <v>420</v>
      </c>
      <c r="E4" s="340" t="s">
        <v>321</v>
      </c>
      <c r="F4" s="340" t="s">
        <v>27</v>
      </c>
      <c r="G4" s="340" t="s">
        <v>419</v>
      </c>
      <c r="H4" s="340" t="s">
        <v>429</v>
      </c>
      <c r="I4" s="340" t="s">
        <v>7</v>
      </c>
      <c r="J4" s="340" t="s">
        <v>8</v>
      </c>
      <c r="K4" s="340" t="s">
        <v>9</v>
      </c>
      <c r="L4" s="340" t="s">
        <v>10</v>
      </c>
      <c r="M4" s="222" t="s">
        <v>416</v>
      </c>
      <c r="N4" s="222" t="s">
        <v>11</v>
      </c>
      <c r="O4" s="340" t="s">
        <v>323</v>
      </c>
      <c r="P4" s="222" t="s">
        <v>408</v>
      </c>
      <c r="Q4" s="470"/>
      <c r="R4" s="85"/>
    </row>
    <row r="5" spans="1:18" s="114" customFormat="1" ht="13.5" customHeight="1">
      <c r="A5" s="115"/>
      <c r="B5" s="116" t="s">
        <v>283</v>
      </c>
      <c r="C5" s="117"/>
      <c r="D5" s="118">
        <f>'計算シート'!D5</f>
        <v>0</v>
      </c>
      <c r="E5" s="118">
        <f>'計算シート'!E5</f>
        <v>0</v>
      </c>
      <c r="F5" s="118">
        <f>'計算シート'!F5</f>
        <v>0</v>
      </c>
      <c r="G5" s="118">
        <f>'計算シート'!G5</f>
        <v>0</v>
      </c>
      <c r="H5" s="118">
        <f>'計算シート'!H5</f>
        <v>0</v>
      </c>
      <c r="I5" s="118">
        <f>'計算シート'!I5</f>
        <v>0</v>
      </c>
      <c r="J5" s="118">
        <f>'計算シート'!J5</f>
        <v>0</v>
      </c>
      <c r="K5" s="118">
        <f>'計算シート'!K5</f>
        <v>0</v>
      </c>
      <c r="L5" s="118">
        <f>'計算シート'!L5</f>
        <v>0</v>
      </c>
      <c r="M5" s="118">
        <f>'計算シート'!M5</f>
        <v>0</v>
      </c>
      <c r="N5" s="118">
        <f>'計算シート'!N5</f>
        <v>0</v>
      </c>
      <c r="O5" s="118">
        <f>'計算シート'!O5</f>
        <v>0</v>
      </c>
      <c r="P5" s="118">
        <f>'計算シート'!P5</f>
        <v>0</v>
      </c>
      <c r="Q5" s="118">
        <f>'計算シート'!Q5</f>
        <v>0</v>
      </c>
      <c r="R5" s="119"/>
    </row>
    <row r="6" spans="1:18" s="114" customFormat="1" ht="13.5" customHeight="1">
      <c r="A6" s="115"/>
      <c r="B6" s="116" t="s">
        <v>409</v>
      </c>
      <c r="C6" s="120"/>
      <c r="D6" s="118">
        <f>'計算シート'!D6</f>
        <v>0</v>
      </c>
      <c r="E6" s="118">
        <f>'計算シート'!E6</f>
        <v>0</v>
      </c>
      <c r="F6" s="118">
        <f>'計算シート'!F6</f>
        <v>0</v>
      </c>
      <c r="G6" s="118">
        <f>'計算シート'!G6</f>
        <v>0</v>
      </c>
      <c r="H6" s="118">
        <f>'計算シート'!H6</f>
        <v>0</v>
      </c>
      <c r="I6" s="118">
        <f>'計算シート'!I6</f>
        <v>0</v>
      </c>
      <c r="J6" s="118">
        <f>'計算シート'!J6</f>
        <v>0</v>
      </c>
      <c r="K6" s="118">
        <f>'計算シート'!K6</f>
        <v>0</v>
      </c>
      <c r="L6" s="118">
        <f>'計算シート'!L6</f>
        <v>0</v>
      </c>
      <c r="M6" s="118">
        <f>'計算シート'!M6</f>
        <v>0</v>
      </c>
      <c r="N6" s="118">
        <f>'計算シート'!N6</f>
        <v>0</v>
      </c>
      <c r="O6" s="118">
        <f>'計算シート'!O6</f>
        <v>0</v>
      </c>
      <c r="P6" s="118">
        <f>'計算シート'!P6</f>
        <v>0</v>
      </c>
      <c r="Q6" s="118">
        <f>'計算シート'!Q6</f>
        <v>0</v>
      </c>
      <c r="R6" s="119"/>
    </row>
    <row r="7" spans="1:18" s="114" customFormat="1" ht="13.5" customHeight="1">
      <c r="A7" s="115"/>
      <c r="B7" s="116" t="s">
        <v>410</v>
      </c>
      <c r="C7" s="120"/>
      <c r="D7" s="118">
        <f>'計算シート'!D7</f>
        <v>0</v>
      </c>
      <c r="E7" s="118">
        <f>'計算シート'!E7</f>
        <v>0</v>
      </c>
      <c r="F7" s="118">
        <f>'計算シート'!F7</f>
        <v>0</v>
      </c>
      <c r="G7" s="118">
        <f>'計算シート'!G7</f>
        <v>0</v>
      </c>
      <c r="H7" s="118">
        <f>'計算シート'!H7</f>
        <v>0</v>
      </c>
      <c r="I7" s="118">
        <f>'計算シート'!I7</f>
        <v>0</v>
      </c>
      <c r="J7" s="118">
        <f>'計算シート'!J7</f>
        <v>0</v>
      </c>
      <c r="K7" s="118">
        <f>'計算シート'!K7</f>
        <v>0</v>
      </c>
      <c r="L7" s="118">
        <f>'計算シート'!L7</f>
        <v>0</v>
      </c>
      <c r="M7" s="118">
        <f>'計算シート'!M7</f>
        <v>0</v>
      </c>
      <c r="N7" s="118">
        <f>'計算シート'!N7</f>
        <v>0</v>
      </c>
      <c r="O7" s="118">
        <f>'計算シート'!O7</f>
        <v>0</v>
      </c>
      <c r="P7" s="118">
        <f>'計算シート'!P7</f>
        <v>0</v>
      </c>
      <c r="Q7" s="118">
        <f>'計算シート'!Q7</f>
        <v>0</v>
      </c>
      <c r="R7" s="119"/>
    </row>
    <row r="8" spans="1:18" s="114" customFormat="1" ht="13.5" customHeight="1">
      <c r="A8" s="115"/>
      <c r="B8" s="116" t="s">
        <v>411</v>
      </c>
      <c r="C8" s="120"/>
      <c r="D8" s="118">
        <f>'計算シート'!D8</f>
        <v>0</v>
      </c>
      <c r="E8" s="118">
        <f>'計算シート'!E8</f>
        <v>0</v>
      </c>
      <c r="F8" s="118">
        <f>'計算シート'!F8</f>
        <v>0</v>
      </c>
      <c r="G8" s="118">
        <f>'計算シート'!G8</f>
        <v>0</v>
      </c>
      <c r="H8" s="118">
        <f>'計算シート'!H8</f>
        <v>0</v>
      </c>
      <c r="I8" s="118">
        <f>'計算シート'!I8</f>
        <v>0</v>
      </c>
      <c r="J8" s="118">
        <f>'計算シート'!J8</f>
        <v>0</v>
      </c>
      <c r="K8" s="118">
        <f>'計算シート'!K8</f>
        <v>0</v>
      </c>
      <c r="L8" s="118">
        <f>'計算シート'!L8</f>
        <v>0</v>
      </c>
      <c r="M8" s="118">
        <f>'計算シート'!M8</f>
        <v>0</v>
      </c>
      <c r="N8" s="118">
        <f>'計算シート'!N8</f>
        <v>0</v>
      </c>
      <c r="O8" s="118">
        <f>'計算シート'!O8</f>
        <v>0</v>
      </c>
      <c r="P8" s="118">
        <f>'計算シート'!P8</f>
        <v>0</v>
      </c>
      <c r="Q8" s="118">
        <f>'計算シート'!Q8</f>
        <v>0</v>
      </c>
      <c r="R8" s="119"/>
    </row>
    <row r="9" spans="1:18" s="114" customFormat="1" ht="13.5" customHeight="1">
      <c r="A9" s="115"/>
      <c r="B9" s="116" t="s">
        <v>366</v>
      </c>
      <c r="C9" s="120"/>
      <c r="D9" s="118">
        <f>'計算シート'!D9</f>
        <v>0</v>
      </c>
      <c r="E9" s="118">
        <f>'計算シート'!E9</f>
        <v>0</v>
      </c>
      <c r="F9" s="118">
        <f>'計算シート'!F9</f>
        <v>0</v>
      </c>
      <c r="G9" s="118">
        <f>'計算シート'!G9</f>
        <v>0</v>
      </c>
      <c r="H9" s="118">
        <f>'計算シート'!H9</f>
        <v>0</v>
      </c>
      <c r="I9" s="118">
        <f>'計算シート'!I9</f>
        <v>0</v>
      </c>
      <c r="J9" s="118">
        <f>'計算シート'!J9</f>
        <v>0</v>
      </c>
      <c r="K9" s="118">
        <f>'計算シート'!K9</f>
        <v>0</v>
      </c>
      <c r="L9" s="118">
        <f>'計算シート'!L9</f>
        <v>0</v>
      </c>
      <c r="M9" s="118">
        <f>'計算シート'!M9</f>
        <v>0</v>
      </c>
      <c r="N9" s="118">
        <f>'計算シート'!N9</f>
        <v>0</v>
      </c>
      <c r="O9" s="118">
        <f>'計算シート'!O9</f>
        <v>0</v>
      </c>
      <c r="P9" s="118">
        <f>'計算シート'!P9</f>
        <v>0</v>
      </c>
      <c r="Q9" s="118">
        <f>'計算シート'!Q9</f>
        <v>0</v>
      </c>
      <c r="R9" s="119"/>
    </row>
    <row r="10" spans="1:18" s="114" customFormat="1" ht="13.5" customHeight="1">
      <c r="A10" s="115"/>
      <c r="B10" s="116" t="s">
        <v>423</v>
      </c>
      <c r="C10" s="117"/>
      <c r="D10" s="118">
        <f>'計算シート'!D10</f>
        <v>0</v>
      </c>
      <c r="E10" s="118">
        <f>'計算シート'!E10</f>
        <v>0</v>
      </c>
      <c r="F10" s="118">
        <f>'計算シート'!F10</f>
        <v>0</v>
      </c>
      <c r="G10" s="118">
        <f>'計算シート'!G10</f>
        <v>0</v>
      </c>
      <c r="H10" s="118">
        <f>'計算シート'!H10</f>
        <v>0</v>
      </c>
      <c r="I10" s="118">
        <f>'計算シート'!I10</f>
        <v>0</v>
      </c>
      <c r="J10" s="118">
        <f>'計算シート'!J10</f>
        <v>0</v>
      </c>
      <c r="K10" s="118">
        <f>'計算シート'!K10</f>
        <v>0</v>
      </c>
      <c r="L10" s="118">
        <f>'計算シート'!L10</f>
        <v>0</v>
      </c>
      <c r="M10" s="118">
        <f>'計算シート'!M10</f>
        <v>0</v>
      </c>
      <c r="N10" s="118">
        <f>'計算シート'!N10</f>
        <v>0</v>
      </c>
      <c r="O10" s="118">
        <f>'計算シート'!O10</f>
        <v>0</v>
      </c>
      <c r="P10" s="118">
        <f>'計算シート'!P10</f>
        <v>0</v>
      </c>
      <c r="Q10" s="118">
        <f>'計算シート'!Q10</f>
        <v>0</v>
      </c>
      <c r="R10" s="119"/>
    </row>
    <row r="11" spans="1:18" s="114" customFormat="1" ht="13.5" customHeight="1">
      <c r="A11" s="115"/>
      <c r="B11" s="121" t="s">
        <v>594</v>
      </c>
      <c r="C11" s="117"/>
      <c r="D11" s="118">
        <f>'計算シート'!D11</f>
        <v>0</v>
      </c>
      <c r="E11" s="118">
        <f>'計算シート'!E11</f>
        <v>0</v>
      </c>
      <c r="F11" s="118">
        <f>'計算シート'!F11</f>
        <v>0</v>
      </c>
      <c r="G11" s="118">
        <f>'計算シート'!G11</f>
        <v>0</v>
      </c>
      <c r="H11" s="118">
        <f>'計算シート'!H11</f>
        <v>0</v>
      </c>
      <c r="I11" s="118">
        <f>'計算シート'!I11</f>
        <v>0</v>
      </c>
      <c r="J11" s="118">
        <f>'計算シート'!J11</f>
        <v>0</v>
      </c>
      <c r="K11" s="118">
        <f>'計算シート'!K11</f>
        <v>0</v>
      </c>
      <c r="L11" s="118">
        <f>'計算シート'!L11</f>
        <v>0</v>
      </c>
      <c r="M11" s="118">
        <f>'計算シート'!M11</f>
        <v>0</v>
      </c>
      <c r="N11" s="118">
        <f>'計算シート'!N11</f>
        <v>0</v>
      </c>
      <c r="O11" s="118">
        <f>'計算シート'!O11</f>
        <v>0</v>
      </c>
      <c r="P11" s="118">
        <f>'計算シート'!P11</f>
        <v>0</v>
      </c>
      <c r="Q11" s="118">
        <f>'計算シート'!Q11</f>
        <v>0</v>
      </c>
      <c r="R11" s="119"/>
    </row>
    <row r="12" spans="1:18" s="114" customFormat="1" ht="3.75" customHeight="1" thickBot="1">
      <c r="A12" s="115"/>
      <c r="B12" s="119"/>
      <c r="C12" s="119"/>
      <c r="D12" s="119"/>
      <c r="E12" s="119"/>
      <c r="F12" s="119"/>
      <c r="G12" s="119"/>
      <c r="H12" s="119"/>
      <c r="I12" s="119"/>
      <c r="J12" s="119"/>
      <c r="K12" s="119"/>
      <c r="L12" s="119"/>
      <c r="M12" s="119"/>
      <c r="N12" s="119"/>
      <c r="O12" s="119"/>
      <c r="P12" s="119"/>
      <c r="Q12" s="119"/>
      <c r="R12" s="119"/>
    </row>
    <row r="13" spans="1:18" s="114" customFormat="1" ht="13.5" customHeight="1" thickBot="1">
      <c r="A13" s="115"/>
      <c r="B13" s="119"/>
      <c r="C13" s="119"/>
      <c r="D13" s="119"/>
      <c r="E13" s="119"/>
      <c r="F13" s="119"/>
      <c r="G13" s="119"/>
      <c r="M13" s="82"/>
      <c r="N13" s="83" t="s">
        <v>921</v>
      </c>
      <c r="O13" s="83"/>
      <c r="P13" s="224">
        <f>'計算シート'!P13</f>
      </c>
      <c r="Q13" s="84" t="s">
        <v>415</v>
      </c>
      <c r="R13" s="85"/>
    </row>
    <row r="14" spans="1:2" s="114" customFormat="1" ht="13.5" customHeight="1">
      <c r="A14" s="122" t="s">
        <v>424</v>
      </c>
      <c r="B14" s="114" t="s">
        <v>417</v>
      </c>
    </row>
    <row r="15" spans="1:18" s="114" customFormat="1" ht="13.5">
      <c r="A15" s="122"/>
      <c r="B15" s="447" t="s">
        <v>426</v>
      </c>
      <c r="C15" s="448"/>
      <c r="D15" s="451" t="s">
        <v>435</v>
      </c>
      <c r="E15" s="452"/>
      <c r="F15" s="452"/>
      <c r="G15" s="452"/>
      <c r="H15" s="453"/>
      <c r="I15" s="451" t="s">
        <v>436</v>
      </c>
      <c r="J15" s="452"/>
      <c r="K15" s="452"/>
      <c r="L15" s="452"/>
      <c r="M15" s="452"/>
      <c r="N15" s="453"/>
      <c r="O15" s="451" t="s">
        <v>334</v>
      </c>
      <c r="P15" s="453"/>
      <c r="Q15" s="472" t="s">
        <v>432</v>
      </c>
      <c r="R15" s="471" t="s">
        <v>594</v>
      </c>
    </row>
    <row r="16" spans="1:19" s="114" customFormat="1" ht="40.5" customHeight="1">
      <c r="A16" s="115"/>
      <c r="B16" s="449"/>
      <c r="C16" s="450"/>
      <c r="D16" s="339" t="s">
        <v>420</v>
      </c>
      <c r="E16" s="340" t="s">
        <v>321</v>
      </c>
      <c r="F16" s="340" t="s">
        <v>27</v>
      </c>
      <c r="G16" s="340" t="s">
        <v>419</v>
      </c>
      <c r="H16" s="340" t="s">
        <v>429</v>
      </c>
      <c r="I16" s="340" t="s">
        <v>7</v>
      </c>
      <c r="J16" s="340" t="s">
        <v>8</v>
      </c>
      <c r="K16" s="340" t="s">
        <v>9</v>
      </c>
      <c r="L16" s="340" t="s">
        <v>10</v>
      </c>
      <c r="M16" s="222" t="s">
        <v>416</v>
      </c>
      <c r="N16" s="222" t="s">
        <v>11</v>
      </c>
      <c r="O16" s="340" t="s">
        <v>323</v>
      </c>
      <c r="P16" s="222" t="s">
        <v>408</v>
      </c>
      <c r="Q16" s="473"/>
      <c r="R16" s="470"/>
      <c r="S16" s="123"/>
    </row>
    <row r="17" spans="1:19" s="114" customFormat="1" ht="13.5" customHeight="1">
      <c r="A17" s="115"/>
      <c r="B17" s="116" t="s">
        <v>283</v>
      </c>
      <c r="C17" s="124"/>
      <c r="D17" s="125">
        <f>'計算シート'!D19</f>
        <v>0</v>
      </c>
      <c r="E17" s="125">
        <f>'計算シート'!E19</f>
        <v>0</v>
      </c>
      <c r="F17" s="125">
        <f>'計算シート'!F19</f>
        <v>0</v>
      </c>
      <c r="G17" s="125">
        <f>'計算シート'!G19</f>
        <v>0</v>
      </c>
      <c r="H17" s="125">
        <f>'計算シート'!H19</f>
        <v>0</v>
      </c>
      <c r="I17" s="125">
        <f>'計算シート'!I19</f>
        <v>0</v>
      </c>
      <c r="J17" s="125">
        <f>'計算シート'!J19</f>
        <v>0</v>
      </c>
      <c r="K17" s="125">
        <f>'計算シート'!K19</f>
        <v>0</v>
      </c>
      <c r="L17" s="125">
        <f>'計算シート'!L19</f>
        <v>0</v>
      </c>
      <c r="M17" s="125">
        <f>'計算シート'!M19</f>
        <v>0</v>
      </c>
      <c r="N17" s="125">
        <f>'計算シート'!N19</f>
        <v>0</v>
      </c>
      <c r="O17" s="125">
        <f>'計算シート'!O19</f>
        <v>0</v>
      </c>
      <c r="P17" s="125">
        <f>'計算シート'!P19</f>
        <v>0</v>
      </c>
      <c r="Q17" s="118">
        <f>'計算シート'!S18</f>
        <v>0</v>
      </c>
      <c r="R17" s="118">
        <f>SUM(D17:Q17)</f>
        <v>0</v>
      </c>
      <c r="S17" s="126"/>
    </row>
    <row r="18" spans="1:19" s="114" customFormat="1" ht="13.5" customHeight="1">
      <c r="A18" s="115"/>
      <c r="B18" s="116" t="s">
        <v>409</v>
      </c>
      <c r="C18" s="124"/>
      <c r="D18" s="125">
        <f>'計算シート'!D22</f>
        <v>0</v>
      </c>
      <c r="E18" s="125">
        <f>'計算シート'!E22</f>
        <v>0</v>
      </c>
      <c r="F18" s="125">
        <f>'計算シート'!F22</f>
        <v>0</v>
      </c>
      <c r="G18" s="125">
        <f>'計算シート'!G22</f>
        <v>0</v>
      </c>
      <c r="H18" s="125">
        <f>'計算シート'!H22</f>
        <v>0</v>
      </c>
      <c r="I18" s="125">
        <f>'計算シート'!I22</f>
        <v>0</v>
      </c>
      <c r="J18" s="125">
        <f>'計算シート'!J22</f>
        <v>0</v>
      </c>
      <c r="K18" s="125">
        <f>'計算シート'!K22</f>
        <v>0</v>
      </c>
      <c r="L18" s="125">
        <f>'計算シート'!L22</f>
        <v>0</v>
      </c>
      <c r="M18" s="125">
        <f>'計算シート'!M22</f>
        <v>0</v>
      </c>
      <c r="N18" s="125">
        <f>'計算シート'!N22</f>
        <v>0</v>
      </c>
      <c r="O18" s="125">
        <f>'計算シート'!O22</f>
        <v>0</v>
      </c>
      <c r="P18" s="125">
        <f>'計算シート'!P22</f>
        <v>0</v>
      </c>
      <c r="Q18" s="118">
        <f>'計算シート'!S21</f>
        <v>0</v>
      </c>
      <c r="R18" s="118">
        <f aca="true" t="shared" si="0" ref="R18:R23">SUM(D18:Q18)</f>
        <v>0</v>
      </c>
      <c r="S18" s="126"/>
    </row>
    <row r="19" spans="1:19" s="114" customFormat="1" ht="13.5" customHeight="1">
      <c r="A19" s="115"/>
      <c r="B19" s="116" t="s">
        <v>410</v>
      </c>
      <c r="C19" s="124"/>
      <c r="D19" s="125">
        <f>'計算シート'!D25</f>
        <v>0</v>
      </c>
      <c r="E19" s="125">
        <f>'計算シート'!E25</f>
        <v>0</v>
      </c>
      <c r="F19" s="125">
        <f>'計算シート'!F25</f>
        <v>0</v>
      </c>
      <c r="G19" s="125">
        <f>'計算シート'!G25</f>
        <v>0</v>
      </c>
      <c r="H19" s="125">
        <f>'計算シート'!H25</f>
        <v>0</v>
      </c>
      <c r="I19" s="125">
        <f>'計算シート'!I25</f>
        <v>0</v>
      </c>
      <c r="J19" s="125">
        <f>'計算シート'!J25</f>
        <v>0</v>
      </c>
      <c r="K19" s="125">
        <f>'計算シート'!K25</f>
        <v>0</v>
      </c>
      <c r="L19" s="125">
        <f>'計算シート'!L25</f>
        <v>0</v>
      </c>
      <c r="M19" s="125">
        <f>'計算シート'!M25</f>
        <v>0</v>
      </c>
      <c r="N19" s="125">
        <f>'計算シート'!N25</f>
        <v>0</v>
      </c>
      <c r="O19" s="125">
        <f>'計算シート'!O25</f>
        <v>0</v>
      </c>
      <c r="P19" s="125">
        <f>'計算シート'!P25</f>
        <v>0</v>
      </c>
      <c r="Q19" s="118">
        <f>'計算シート'!S24</f>
        <v>0</v>
      </c>
      <c r="R19" s="118">
        <f t="shared" si="0"/>
        <v>0</v>
      </c>
      <c r="S19" s="126"/>
    </row>
    <row r="20" spans="1:19" s="114" customFormat="1" ht="13.5" customHeight="1">
      <c r="A20" s="115"/>
      <c r="B20" s="116" t="s">
        <v>411</v>
      </c>
      <c r="C20" s="124"/>
      <c r="D20" s="125">
        <f>'計算シート'!D28</f>
        <v>0</v>
      </c>
      <c r="E20" s="125">
        <f>'計算シート'!E28</f>
        <v>0</v>
      </c>
      <c r="F20" s="125">
        <f>'計算シート'!F28</f>
        <v>0</v>
      </c>
      <c r="G20" s="125">
        <f>'計算シート'!G28</f>
        <v>0</v>
      </c>
      <c r="H20" s="125">
        <f>'計算シート'!H28</f>
        <v>0</v>
      </c>
      <c r="I20" s="125">
        <f>'計算シート'!I28</f>
        <v>0</v>
      </c>
      <c r="J20" s="125">
        <f>'計算シート'!J28</f>
        <v>0</v>
      </c>
      <c r="K20" s="125">
        <f>'計算シート'!K28</f>
        <v>0</v>
      </c>
      <c r="L20" s="125">
        <f>'計算シート'!L28</f>
        <v>0</v>
      </c>
      <c r="M20" s="125">
        <f>'計算シート'!M28</f>
        <v>0</v>
      </c>
      <c r="N20" s="125">
        <f>'計算シート'!N28</f>
        <v>0</v>
      </c>
      <c r="O20" s="125">
        <f>'計算シート'!O28</f>
        <v>0</v>
      </c>
      <c r="P20" s="125">
        <f>'計算シート'!P28</f>
        <v>0</v>
      </c>
      <c r="Q20" s="118">
        <f>'計算シート'!S27</f>
        <v>0</v>
      </c>
      <c r="R20" s="118">
        <f t="shared" si="0"/>
        <v>0</v>
      </c>
      <c r="S20" s="126"/>
    </row>
    <row r="21" spans="1:19" s="114" customFormat="1" ht="13.5" customHeight="1">
      <c r="A21" s="115"/>
      <c r="B21" s="116" t="s">
        <v>366</v>
      </c>
      <c r="C21" s="124"/>
      <c r="D21" s="125">
        <f>'計算シート'!D31</f>
        <v>0</v>
      </c>
      <c r="E21" s="125">
        <f>'計算シート'!E31</f>
        <v>0</v>
      </c>
      <c r="F21" s="125">
        <f>'計算シート'!F31</f>
        <v>0</v>
      </c>
      <c r="G21" s="125">
        <f>'計算シート'!G31</f>
        <v>0</v>
      </c>
      <c r="H21" s="125">
        <f>'計算シート'!H31</f>
        <v>0</v>
      </c>
      <c r="I21" s="125">
        <f>'計算シート'!I31</f>
        <v>0</v>
      </c>
      <c r="J21" s="125">
        <f>'計算シート'!J31</f>
        <v>0</v>
      </c>
      <c r="K21" s="125">
        <f>'計算シート'!K31</f>
        <v>0</v>
      </c>
      <c r="L21" s="125">
        <f>'計算シート'!L31</f>
        <v>0</v>
      </c>
      <c r="M21" s="125">
        <f>'計算シート'!M31</f>
        <v>0</v>
      </c>
      <c r="N21" s="125">
        <f>'計算シート'!N31</f>
        <v>0</v>
      </c>
      <c r="O21" s="125">
        <f>'計算シート'!O31</f>
        <v>0</v>
      </c>
      <c r="P21" s="125">
        <f>'計算シート'!P31</f>
        <v>0</v>
      </c>
      <c r="Q21" s="118">
        <f>'計算シート'!S30</f>
        <v>0</v>
      </c>
      <c r="R21" s="118">
        <f t="shared" si="0"/>
        <v>0</v>
      </c>
      <c r="S21" s="126"/>
    </row>
    <row r="22" spans="1:19" s="114" customFormat="1" ht="13.5" customHeight="1">
      <c r="A22" s="115"/>
      <c r="B22" s="116" t="s">
        <v>423</v>
      </c>
      <c r="C22" s="124"/>
      <c r="D22" s="125">
        <f>'計算シート'!D34</f>
        <v>0</v>
      </c>
      <c r="E22" s="125">
        <f>'計算シート'!E34</f>
        <v>0</v>
      </c>
      <c r="F22" s="125">
        <f>'計算シート'!F34</f>
        <v>0</v>
      </c>
      <c r="G22" s="125">
        <f>'計算シート'!G34</f>
        <v>0</v>
      </c>
      <c r="H22" s="125">
        <f>'計算シート'!H34</f>
        <v>0</v>
      </c>
      <c r="I22" s="125">
        <f>'計算シート'!I34</f>
        <v>0</v>
      </c>
      <c r="J22" s="125">
        <f>'計算シート'!J34</f>
        <v>0</v>
      </c>
      <c r="K22" s="125">
        <f>'計算シート'!K34</f>
        <v>0</v>
      </c>
      <c r="L22" s="125">
        <f>'計算シート'!L34</f>
        <v>0</v>
      </c>
      <c r="M22" s="125">
        <f>'計算シート'!M34</f>
        <v>0</v>
      </c>
      <c r="N22" s="125">
        <f>'計算シート'!N34</f>
        <v>0</v>
      </c>
      <c r="O22" s="125">
        <f>'計算シート'!O34</f>
        <v>0</v>
      </c>
      <c r="P22" s="125">
        <f>'計算シート'!P34</f>
        <v>0</v>
      </c>
      <c r="Q22" s="118">
        <f>'計算シート'!S33</f>
        <v>0</v>
      </c>
      <c r="R22" s="118">
        <f t="shared" si="0"/>
        <v>0</v>
      </c>
      <c r="S22" s="127"/>
    </row>
    <row r="23" spans="1:21" s="114" customFormat="1" ht="13.5" customHeight="1">
      <c r="A23" s="115"/>
      <c r="B23" s="121" t="s">
        <v>594</v>
      </c>
      <c r="C23" s="117"/>
      <c r="D23" s="118">
        <f>'計算シート'!D35</f>
        <v>0</v>
      </c>
      <c r="E23" s="118">
        <f>'計算シート'!E35</f>
        <v>0</v>
      </c>
      <c r="F23" s="118">
        <f>'計算シート'!F35</f>
        <v>0</v>
      </c>
      <c r="G23" s="118">
        <f>'計算シート'!G35</f>
        <v>0</v>
      </c>
      <c r="H23" s="118">
        <f>'計算シート'!H35</f>
        <v>0</v>
      </c>
      <c r="I23" s="118">
        <f>'計算シート'!I35</f>
        <v>0</v>
      </c>
      <c r="J23" s="118">
        <f>'計算シート'!J35</f>
        <v>0</v>
      </c>
      <c r="K23" s="118">
        <f>'計算シート'!K35</f>
        <v>0</v>
      </c>
      <c r="L23" s="118">
        <f>'計算シート'!L35</f>
        <v>0</v>
      </c>
      <c r="M23" s="118">
        <f>'計算シート'!M35</f>
        <v>0</v>
      </c>
      <c r="N23" s="118">
        <f>'計算シート'!N35</f>
        <v>0</v>
      </c>
      <c r="O23" s="118">
        <f>'計算シート'!O35</f>
        <v>0</v>
      </c>
      <c r="P23" s="118">
        <f>'計算シート'!P35</f>
        <v>0</v>
      </c>
      <c r="Q23" s="118">
        <f>SUM(Q17:Q22)</f>
        <v>0</v>
      </c>
      <c r="R23" s="118">
        <f t="shared" si="0"/>
        <v>0</v>
      </c>
      <c r="S23" s="127"/>
      <c r="U23" s="128"/>
    </row>
    <row r="24" spans="1:21" s="114" customFormat="1" ht="3.75" customHeight="1" thickBot="1">
      <c r="A24" s="115"/>
      <c r="B24" s="129"/>
      <c r="C24" s="85"/>
      <c r="D24" s="85"/>
      <c r="E24" s="119"/>
      <c r="F24" s="130"/>
      <c r="G24" s="119"/>
      <c r="H24" s="119"/>
      <c r="I24" s="119"/>
      <c r="J24" s="119"/>
      <c r="K24" s="119"/>
      <c r="L24" s="119"/>
      <c r="M24" s="119"/>
      <c r="N24" s="119"/>
      <c r="O24" s="119"/>
      <c r="P24" s="119"/>
      <c r="Q24" s="119"/>
      <c r="R24" s="119"/>
      <c r="S24" s="127"/>
      <c r="U24" s="128"/>
    </row>
    <row r="25" spans="1:21" s="114" customFormat="1" ht="14.25" thickBot="1">
      <c r="A25" s="122"/>
      <c r="B25" s="119"/>
      <c r="C25" s="86"/>
      <c r="D25" s="86"/>
      <c r="E25" s="86"/>
      <c r="F25" s="86"/>
      <c r="G25" s="119"/>
      <c r="M25" s="82"/>
      <c r="N25" s="83" t="s">
        <v>921</v>
      </c>
      <c r="O25" s="83"/>
      <c r="P25" s="87">
        <f>'計算シート'!P37</f>
      </c>
      <c r="Q25" s="88" t="s">
        <v>415</v>
      </c>
      <c r="R25" s="89"/>
      <c r="S25" s="127"/>
      <c r="U25" s="128"/>
    </row>
    <row r="26" spans="1:21" s="114" customFormat="1" ht="14.25" thickBot="1">
      <c r="A26" s="115"/>
      <c r="B26" s="119"/>
      <c r="C26" s="86"/>
      <c r="D26" s="127"/>
      <c r="E26" s="127"/>
      <c r="F26" s="127"/>
      <c r="G26" s="127"/>
      <c r="H26" s="131"/>
      <c r="I26" s="132"/>
      <c r="J26" s="127"/>
      <c r="U26" s="128"/>
    </row>
    <row r="27" spans="1:18" s="136" customFormat="1" ht="13.5" customHeight="1" thickBot="1">
      <c r="A27" s="115"/>
      <c r="B27" s="133"/>
      <c r="C27" s="90"/>
      <c r="D27" s="90"/>
      <c r="E27" s="90"/>
      <c r="F27" s="90"/>
      <c r="G27" s="90"/>
      <c r="H27" s="90"/>
      <c r="I27" s="90"/>
      <c r="J27" s="90"/>
      <c r="K27" s="90"/>
      <c r="L27" s="134"/>
      <c r="M27" s="461" t="s">
        <v>922</v>
      </c>
      <c r="N27" s="462"/>
      <c r="O27" s="462"/>
      <c r="P27" s="463"/>
      <c r="Q27" s="464"/>
      <c r="R27" s="135"/>
    </row>
    <row r="28" spans="1:18" s="136" customFormat="1" ht="13.5" customHeight="1" thickBot="1">
      <c r="A28" s="137"/>
      <c r="B28" s="138"/>
      <c r="C28" s="139"/>
      <c r="D28" s="139"/>
      <c r="E28" s="139"/>
      <c r="F28" s="139"/>
      <c r="G28" s="139"/>
      <c r="H28" s="139"/>
      <c r="I28" s="139"/>
      <c r="J28" s="139"/>
      <c r="K28" s="139"/>
      <c r="L28" s="139"/>
      <c r="M28" s="465">
        <f>'計算シート'!M40</f>
      </c>
      <c r="N28" s="466"/>
      <c r="O28" s="467"/>
      <c r="P28" s="467"/>
      <c r="Q28" s="468"/>
      <c r="R28" s="139"/>
    </row>
    <row r="29" spans="1:18" s="136" customFormat="1" ht="13.5" customHeight="1">
      <c r="A29" s="137"/>
      <c r="B29" s="138"/>
      <c r="C29" s="139"/>
      <c r="D29" s="139"/>
      <c r="E29" s="139"/>
      <c r="F29" s="139"/>
      <c r="G29" s="139"/>
      <c r="H29" s="139"/>
      <c r="I29" s="139"/>
      <c r="J29" s="139"/>
      <c r="K29" s="139"/>
      <c r="L29" s="139"/>
      <c r="M29" s="139"/>
      <c r="N29" s="139"/>
      <c r="O29" s="139"/>
      <c r="P29" s="139"/>
      <c r="Q29" s="139"/>
      <c r="R29" s="139"/>
    </row>
    <row r="30" spans="1:18" s="136" customFormat="1" ht="13.5" customHeight="1">
      <c r="A30" s="137"/>
      <c r="B30" s="138"/>
      <c r="C30" s="139"/>
      <c r="D30" s="139"/>
      <c r="E30" s="139"/>
      <c r="F30" s="139"/>
      <c r="G30" s="139"/>
      <c r="H30" s="139"/>
      <c r="I30" s="139"/>
      <c r="J30" s="139"/>
      <c r="K30" s="139"/>
      <c r="L30" s="139"/>
      <c r="M30" s="139"/>
      <c r="N30" s="139"/>
      <c r="O30" s="139"/>
      <c r="P30" s="139"/>
      <c r="Q30" s="139"/>
      <c r="R30" s="139"/>
    </row>
    <row r="31" ht="12">
      <c r="A31" s="140"/>
    </row>
    <row r="32" ht="12">
      <c r="A32" s="140"/>
    </row>
    <row r="33" ht="12">
      <c r="A33" s="140"/>
    </row>
    <row r="34" ht="12">
      <c r="A34" s="140"/>
    </row>
    <row r="35" ht="12">
      <c r="A35" s="140"/>
    </row>
    <row r="36" ht="12">
      <c r="A36" s="140"/>
    </row>
    <row r="37" ht="12">
      <c r="A37" s="140"/>
    </row>
    <row r="38" ht="12">
      <c r="A38" s="140"/>
    </row>
    <row r="39" ht="12">
      <c r="A39" s="140"/>
    </row>
  </sheetData>
  <sheetProtection/>
  <mergeCells count="13">
    <mergeCell ref="M27:Q27"/>
    <mergeCell ref="M28:Q28"/>
    <mergeCell ref="Q3:Q4"/>
    <mergeCell ref="R15:R16"/>
    <mergeCell ref="Q15:Q16"/>
    <mergeCell ref="B3:C4"/>
    <mergeCell ref="D3:H3"/>
    <mergeCell ref="I3:N3"/>
    <mergeCell ref="O3:P3"/>
    <mergeCell ref="B15:C16"/>
    <mergeCell ref="D15:H15"/>
    <mergeCell ref="I15:N15"/>
    <mergeCell ref="O15:P15"/>
  </mergeCells>
  <printOptions/>
  <pageMargins left="0.7874015748031497" right="0.7874015748031497" top="0.7874015748031497" bottom="0.7874015748031497" header="0.5118110236220472" footer="0.5118110236220472"/>
  <pageSetup horizontalDpi="600" verticalDpi="600" orientation="landscape" paperSize="9" scale="97" r:id="rId1"/>
  <headerFooter alignWithMargins="0">
    <oddHeader>&amp;R&amp;10様式５</oddHeader>
  </headerFooter>
  <colBreaks count="1" manualBreakCount="1">
    <brk id="19" max="65535" man="1"/>
  </colBreaks>
</worksheet>
</file>

<file path=xl/worksheets/sheet6.xml><?xml version="1.0" encoding="utf-8"?>
<worksheet xmlns="http://schemas.openxmlformats.org/spreadsheetml/2006/main" xmlns:r="http://schemas.openxmlformats.org/officeDocument/2006/relationships">
  <dimension ref="A1:BE51"/>
  <sheetViews>
    <sheetView workbookViewId="0" topLeftCell="C10">
      <selection activeCell="M40" sqref="M40:Q40"/>
    </sheetView>
  </sheetViews>
  <sheetFormatPr defaultColWidth="9.00390625" defaultRowHeight="13.5"/>
  <cols>
    <col min="1" max="1" width="2.875" style="110" customWidth="1"/>
    <col min="2" max="2" width="16.50390625" style="110" customWidth="1"/>
    <col min="3" max="3" width="6.25390625" style="110" customWidth="1"/>
    <col min="4" max="11" width="7.375" style="110" customWidth="1"/>
    <col min="12" max="12" width="8.00390625" style="110" customWidth="1"/>
    <col min="13" max="16" width="7.375" style="110" customWidth="1"/>
    <col min="17" max="17" width="6.25390625" style="110" customWidth="1"/>
    <col min="18" max="18" width="1.4921875" style="110" customWidth="1"/>
    <col min="19" max="19" width="7.50390625" style="110" customWidth="1"/>
    <col min="20" max="21" width="4.50390625" style="110" customWidth="1"/>
    <col min="22" max="22" width="17.75390625" style="110" hidden="1" customWidth="1"/>
    <col min="23" max="36" width="4.50390625" style="110" hidden="1" customWidth="1"/>
    <col min="37" max="37" width="5.00390625" style="110" hidden="1" customWidth="1"/>
    <col min="38" max="38" width="5.375" style="110" hidden="1" customWidth="1"/>
    <col min="39" max="39" width="4.875" style="110" hidden="1" customWidth="1"/>
    <col min="40" max="40" width="4.75390625" style="110" hidden="1" customWidth="1"/>
    <col min="41" max="41" width="4.125" style="110" hidden="1" customWidth="1"/>
    <col min="42" max="57" width="9.00390625" style="110" hidden="1" customWidth="1"/>
    <col min="58" max="16384" width="4.50390625" style="110" customWidth="1"/>
  </cols>
  <sheetData>
    <row r="1" ht="14.25">
      <c r="A1" s="109" t="s">
        <v>923</v>
      </c>
    </row>
    <row r="2" spans="1:42" s="112" customFormat="1" ht="13.5">
      <c r="A2" s="111" t="s">
        <v>422</v>
      </c>
      <c r="B2" s="112" t="s">
        <v>402</v>
      </c>
      <c r="AP2" s="112" t="s">
        <v>685</v>
      </c>
    </row>
    <row r="3" spans="1:57" s="112" customFormat="1" ht="12" customHeight="1" thickBot="1">
      <c r="A3" s="111"/>
      <c r="B3" s="454" t="s">
        <v>326</v>
      </c>
      <c r="C3" s="455"/>
      <c r="D3" s="475" t="s">
        <v>435</v>
      </c>
      <c r="E3" s="476"/>
      <c r="F3" s="476"/>
      <c r="G3" s="476"/>
      <c r="H3" s="477"/>
      <c r="I3" s="475" t="s">
        <v>436</v>
      </c>
      <c r="J3" s="476"/>
      <c r="K3" s="476"/>
      <c r="L3" s="476"/>
      <c r="M3" s="476"/>
      <c r="N3" s="477"/>
      <c r="O3" s="475" t="s">
        <v>334</v>
      </c>
      <c r="P3" s="477"/>
      <c r="Q3" s="469" t="s">
        <v>594</v>
      </c>
      <c r="AP3" s="454" t="s">
        <v>326</v>
      </c>
      <c r="AQ3" s="455"/>
      <c r="AR3" s="475" t="s">
        <v>435</v>
      </c>
      <c r="AS3" s="476"/>
      <c r="AT3" s="476"/>
      <c r="AU3" s="476"/>
      <c r="AV3" s="477"/>
      <c r="AW3" s="475" t="s">
        <v>436</v>
      </c>
      <c r="AX3" s="476"/>
      <c r="AY3" s="476"/>
      <c r="AZ3" s="476"/>
      <c r="BA3" s="476"/>
      <c r="BB3" s="477"/>
      <c r="BC3" s="475" t="s">
        <v>334</v>
      </c>
      <c r="BD3" s="477"/>
      <c r="BE3" s="469" t="s">
        <v>594</v>
      </c>
    </row>
    <row r="4" spans="1:57" s="114" customFormat="1" ht="34.5" customHeight="1" thickBot="1">
      <c r="A4" s="113"/>
      <c r="B4" s="456"/>
      <c r="C4" s="457"/>
      <c r="D4" s="339" t="s">
        <v>420</v>
      </c>
      <c r="E4" s="340" t="s">
        <v>321</v>
      </c>
      <c r="F4" s="340" t="s">
        <v>27</v>
      </c>
      <c r="G4" s="340" t="s">
        <v>419</v>
      </c>
      <c r="H4" s="340" t="s">
        <v>429</v>
      </c>
      <c r="I4" s="340" t="s">
        <v>7</v>
      </c>
      <c r="J4" s="340" t="s">
        <v>8</v>
      </c>
      <c r="K4" s="340" t="s">
        <v>9</v>
      </c>
      <c r="L4" s="340" t="s">
        <v>10</v>
      </c>
      <c r="M4" s="222" t="s">
        <v>416</v>
      </c>
      <c r="N4" s="222" t="s">
        <v>11</v>
      </c>
      <c r="O4" s="340" t="s">
        <v>322</v>
      </c>
      <c r="P4" s="222" t="s">
        <v>408</v>
      </c>
      <c r="Q4" s="470"/>
      <c r="R4" s="85"/>
      <c r="V4" s="141" t="s">
        <v>326</v>
      </c>
      <c r="W4" s="344" t="s">
        <v>420</v>
      </c>
      <c r="X4" s="345" t="s">
        <v>428</v>
      </c>
      <c r="Y4" s="345" t="s">
        <v>427</v>
      </c>
      <c r="Z4" s="345" t="s">
        <v>419</v>
      </c>
      <c r="AA4" s="345" t="s">
        <v>429</v>
      </c>
      <c r="AB4" s="345" t="s">
        <v>403</v>
      </c>
      <c r="AC4" s="345" t="s">
        <v>404</v>
      </c>
      <c r="AD4" s="345" t="s">
        <v>405</v>
      </c>
      <c r="AE4" s="345" t="s">
        <v>406</v>
      </c>
      <c r="AF4" s="345" t="s">
        <v>416</v>
      </c>
      <c r="AG4" s="346" t="s">
        <v>430</v>
      </c>
      <c r="AH4" s="345" t="s">
        <v>407</v>
      </c>
      <c r="AI4" s="347" t="s">
        <v>408</v>
      </c>
      <c r="AJ4" s="84" t="s">
        <v>594</v>
      </c>
      <c r="AP4" s="456"/>
      <c r="AQ4" s="457"/>
      <c r="AR4" s="339" t="s">
        <v>420</v>
      </c>
      <c r="AS4" s="340" t="s">
        <v>321</v>
      </c>
      <c r="AT4" s="340" t="s">
        <v>27</v>
      </c>
      <c r="AU4" s="340" t="s">
        <v>419</v>
      </c>
      <c r="AV4" s="340" t="s">
        <v>429</v>
      </c>
      <c r="AW4" s="340" t="s">
        <v>7</v>
      </c>
      <c r="AX4" s="340" t="s">
        <v>8</v>
      </c>
      <c r="AY4" s="340" t="s">
        <v>9</v>
      </c>
      <c r="AZ4" s="340" t="s">
        <v>10</v>
      </c>
      <c r="BA4" s="222" t="s">
        <v>416</v>
      </c>
      <c r="BB4" s="222" t="s">
        <v>11</v>
      </c>
      <c r="BC4" s="340" t="s">
        <v>322</v>
      </c>
      <c r="BD4" s="222" t="s">
        <v>408</v>
      </c>
      <c r="BE4" s="470"/>
    </row>
    <row r="5" spans="1:57" s="114" customFormat="1" ht="13.5" customHeight="1">
      <c r="A5" s="115"/>
      <c r="B5" s="116" t="s">
        <v>283</v>
      </c>
      <c r="C5" s="117"/>
      <c r="D5" s="118">
        <f>COUNTIF('様式4'!$AI$4:$AI$303,"1乗")</f>
        <v>0</v>
      </c>
      <c r="E5" s="118">
        <f>COUNTIF('様式4'!$AI$4:$AI$303,"2乗")</f>
        <v>0</v>
      </c>
      <c r="F5" s="118">
        <f>COUNTIF('様式4'!$AI$4:$AI$303,"3乗")</f>
        <v>0</v>
      </c>
      <c r="G5" s="118">
        <f>COUNTIF('様式4'!$AI$4:$AI$303,"4乗")</f>
        <v>0</v>
      </c>
      <c r="H5" s="118">
        <f>COUNTIF('様式4'!$AI$4:$AI$303,"5乗")</f>
        <v>0</v>
      </c>
      <c r="I5" s="118">
        <f>COUNTIF('様式4'!$AI$4:$AI$303,"6乗")</f>
        <v>0</v>
      </c>
      <c r="J5" s="118">
        <f>COUNTIF('様式4'!$AI$4:$AI$303,"7乗")</f>
        <v>0</v>
      </c>
      <c r="K5" s="118">
        <f>COUNTIF('様式4'!$AI$4:$AI$303,"8乗")</f>
        <v>0</v>
      </c>
      <c r="L5" s="118">
        <f>COUNTIF('様式4'!$AI$4:$AI$303,"9乗")</f>
        <v>0</v>
      </c>
      <c r="M5" s="118">
        <f>COUNTIF('様式4'!$AI$4:$AI$303,"10乗")</f>
        <v>0</v>
      </c>
      <c r="N5" s="118">
        <f>COUNTIF('様式4'!$AI$4:$AI$303,"11乗")</f>
        <v>0</v>
      </c>
      <c r="O5" s="118">
        <f>COUNTIF('様式4'!$AI$4:$AI$303,"12乗")</f>
        <v>0</v>
      </c>
      <c r="P5" s="118">
        <f>COUNTIF('様式4'!$AI$4:$AI$303,"13乗")</f>
        <v>0</v>
      </c>
      <c r="Q5" s="118">
        <f aca="true" t="shared" si="0" ref="Q5:Q11">SUM(D5:P5)</f>
        <v>0</v>
      </c>
      <c r="R5" s="119"/>
      <c r="V5" s="142" t="s">
        <v>630</v>
      </c>
      <c r="W5" s="143">
        <f aca="true" t="shared" si="1" ref="W5:W10">D5*$Y41*$AD$41</f>
        <v>0</v>
      </c>
      <c r="X5" s="144">
        <f aca="true" t="shared" si="2" ref="X5:X10">E5*$Y41*$AD$42</f>
        <v>0</v>
      </c>
      <c r="Y5" s="144">
        <f aca="true" t="shared" si="3" ref="Y5:Y10">F5*$Y41*$AD$43</f>
        <v>0</v>
      </c>
      <c r="Z5" s="144">
        <f aca="true" t="shared" si="4" ref="Z5:Z10">G5*$Y41*$AD$44</f>
        <v>0</v>
      </c>
      <c r="AA5" s="144">
        <f aca="true" t="shared" si="5" ref="AA5:AB10">H5*$Y41*$AD$45</f>
        <v>0</v>
      </c>
      <c r="AB5" s="144">
        <f t="shared" si="5"/>
        <v>0</v>
      </c>
      <c r="AC5" s="144">
        <f aca="true" t="shared" si="6" ref="AC5:AC10">J5*$Y41*$AD$47</f>
        <v>0</v>
      </c>
      <c r="AD5" s="144">
        <f aca="true" t="shared" si="7" ref="AD5:AD10">K5*$Y41*$AD$48</f>
        <v>0</v>
      </c>
      <c r="AE5" s="144">
        <f aca="true" t="shared" si="8" ref="AE5:AE10">L5*$Y41*$AD$49</f>
        <v>0</v>
      </c>
      <c r="AF5" s="145"/>
      <c r="AG5" s="145"/>
      <c r="AH5" s="144">
        <f aca="true" t="shared" si="9" ref="AH5:AH10">O5*$Y41*$AD$49</f>
        <v>0</v>
      </c>
      <c r="AI5" s="146"/>
      <c r="AJ5" s="147">
        <f aca="true" t="shared" si="10" ref="AJ5:AJ10">Q5*$Y41</f>
        <v>0</v>
      </c>
      <c r="AK5" s="148" t="s">
        <v>412</v>
      </c>
      <c r="AL5" s="148">
        <f>SUM(W5:AE5)+AH5</f>
        <v>0</v>
      </c>
      <c r="AM5" s="148" t="s">
        <v>413</v>
      </c>
      <c r="AN5" s="148">
        <f>AJ5</f>
        <v>0</v>
      </c>
      <c r="AP5" s="116" t="s">
        <v>283</v>
      </c>
      <c r="AQ5" s="117"/>
      <c r="AR5" s="366">
        <f>SUMIF('様式4'!$AI$4:$AI$303,"1乗",'様式4'!Q4:Q303)</f>
        <v>0</v>
      </c>
      <c r="AS5" s="366">
        <f>SUMIF('様式4'!$AI$4:$AI$303,"2乗",'様式4'!$Q$4:$Q$303)</f>
        <v>0</v>
      </c>
      <c r="AT5" s="366">
        <f>SUMIF('様式4'!$AI$4:$AI$303,"3乗",'様式4'!$Q$4:$Q$303)</f>
        <v>0</v>
      </c>
      <c r="AU5" s="366">
        <f>SUMIF('様式4'!$AI$4:$AI$303,"4乗",'様式4'!$Q$4:$Q$303)</f>
        <v>0</v>
      </c>
      <c r="AV5" s="366">
        <f>SUMIF('様式4'!$AI$4:$AI$303,"5乗",'様式4'!$Q$4:$Q$303)</f>
        <v>0</v>
      </c>
      <c r="AW5" s="366">
        <f>SUMIF('様式4'!$AI$4:$AI$303,"6乗",'様式4'!$Q$4:$Q$303)</f>
        <v>0</v>
      </c>
      <c r="AX5" s="366">
        <f>SUMIF('様式4'!$AI$4:$AI$303,"7乗",'様式4'!$Q$4:$Q$303)</f>
        <v>0</v>
      </c>
      <c r="AY5" s="366">
        <f>SUMIF('様式4'!$AI$4:$AI$303,"8乗",'様式4'!$Q$4:$Q$303)</f>
        <v>0</v>
      </c>
      <c r="AZ5" s="366">
        <f>SUMIF('様式4'!$AI$4:$AI$303,"9乗",'様式4'!$Q$4:$Q$303)</f>
        <v>0</v>
      </c>
      <c r="BA5" s="366">
        <f>SUMIF('様式4'!$AI$4:$AI$303,"10乗",'様式4'!$Q$4:$Q$303)</f>
        <v>0</v>
      </c>
      <c r="BB5" s="366">
        <f>SUMIF('様式4'!$AI$4:$AI$303,"11乗",'様式4'!$Q$4:$Q$303)</f>
        <v>0</v>
      </c>
      <c r="BC5" s="366">
        <f>SUMIF('様式4'!$AI$4:$AI$303,"12乗",'様式4'!$Q$4:$Q$303)</f>
        <v>0</v>
      </c>
      <c r="BD5" s="366">
        <f>SUMIF('様式4'!$AI$4:$AI$303,"13乗",'様式4'!$Q$4:$Q$303)</f>
        <v>0</v>
      </c>
      <c r="BE5" s="366">
        <f aca="true" t="shared" si="11" ref="BE5:BE11">SUM(AR5:BD5)</f>
        <v>0</v>
      </c>
    </row>
    <row r="6" spans="1:57" s="114" customFormat="1" ht="13.5" customHeight="1">
      <c r="A6" s="115"/>
      <c r="B6" s="116" t="s">
        <v>409</v>
      </c>
      <c r="C6" s="120"/>
      <c r="D6" s="118">
        <f>COUNTIF('様式4'!$AI$4:$AI$303,"1貨1")</f>
        <v>0</v>
      </c>
      <c r="E6" s="118">
        <f>COUNTIF('様式4'!$AI$4:$AI$303,"2貨1")</f>
        <v>0</v>
      </c>
      <c r="F6" s="118">
        <f>COUNTIF('様式4'!$AI$4:$AI$303,"3貨1")</f>
        <v>0</v>
      </c>
      <c r="G6" s="118">
        <f>COUNTIF('様式4'!$AI$4:$AI$303,"4貨1")</f>
        <v>0</v>
      </c>
      <c r="H6" s="118">
        <f>COUNTIF('様式4'!$AI$4:$AI$303,"5貨1")</f>
        <v>0</v>
      </c>
      <c r="I6" s="118">
        <f>COUNTIF('様式4'!$AI$4:$AI$303,"6貨1")</f>
        <v>0</v>
      </c>
      <c r="J6" s="118">
        <f>COUNTIF('様式4'!$AI$4:$AI$303,"7貨1")</f>
        <v>0</v>
      </c>
      <c r="K6" s="118">
        <f>COUNTIF('様式4'!$AI$4:$AI$303,"8貨1")</f>
        <v>0</v>
      </c>
      <c r="L6" s="118">
        <f>COUNTIF('様式4'!$AI$4:$AI$303,"9貨1")</f>
        <v>0</v>
      </c>
      <c r="M6" s="118">
        <f>COUNTIF('様式4'!$AI$4:$AI$303,"10貨1")</f>
        <v>0</v>
      </c>
      <c r="N6" s="118">
        <f>COUNTIF('様式4'!$AI$4:$AI$303,"11貨1")</f>
        <v>0</v>
      </c>
      <c r="O6" s="118">
        <f>COUNTIF('様式4'!$AI$4:$AI$303,"12貨1")</f>
        <v>0</v>
      </c>
      <c r="P6" s="118">
        <f>COUNTIF('様式4'!$AI$4:$AI$303,"13貨1")</f>
        <v>0</v>
      </c>
      <c r="Q6" s="118">
        <f t="shared" si="0"/>
        <v>0</v>
      </c>
      <c r="R6" s="119"/>
      <c r="V6" s="149" t="s">
        <v>409</v>
      </c>
      <c r="W6" s="150">
        <f t="shared" si="1"/>
        <v>0</v>
      </c>
      <c r="X6" s="151">
        <f t="shared" si="2"/>
        <v>0</v>
      </c>
      <c r="Y6" s="151">
        <f t="shared" si="3"/>
        <v>0</v>
      </c>
      <c r="Z6" s="151">
        <f t="shared" si="4"/>
        <v>0</v>
      </c>
      <c r="AA6" s="151">
        <f t="shared" si="5"/>
        <v>0</v>
      </c>
      <c r="AB6" s="151">
        <f t="shared" si="5"/>
        <v>0</v>
      </c>
      <c r="AC6" s="151">
        <f t="shared" si="6"/>
        <v>0</v>
      </c>
      <c r="AD6" s="151">
        <f t="shared" si="7"/>
        <v>0</v>
      </c>
      <c r="AE6" s="151">
        <f t="shared" si="8"/>
        <v>0</v>
      </c>
      <c r="AF6" s="152"/>
      <c r="AG6" s="152"/>
      <c r="AH6" s="151">
        <f t="shared" si="9"/>
        <v>0</v>
      </c>
      <c r="AI6" s="153"/>
      <c r="AJ6" s="154">
        <f t="shared" si="10"/>
        <v>0</v>
      </c>
      <c r="AK6" s="148" t="s">
        <v>412</v>
      </c>
      <c r="AL6" s="148">
        <f>SUM(W6:AE9)</f>
        <v>0</v>
      </c>
      <c r="AM6" s="148" t="s">
        <v>413</v>
      </c>
      <c r="AN6" s="148">
        <f>SUM(AJ6:AJ9)</f>
        <v>0</v>
      </c>
      <c r="AP6" s="116" t="s">
        <v>409</v>
      </c>
      <c r="AQ6" s="120"/>
      <c r="AR6" s="366">
        <f>SUMIF('様式4'!$AI$4:$AI$303,"1貨1",'様式4'!$Q$4:$Q$303)</f>
        <v>0</v>
      </c>
      <c r="AS6" s="366">
        <f>SUMIF('様式4'!$AI$4:$AI$303,"2貨1",'様式4'!$Q$4:$Q$303)</f>
        <v>0</v>
      </c>
      <c r="AT6" s="366">
        <f>SUMIF('様式4'!$AI$4:$AI$303,"3貨1",'様式4'!$Q$4:$Q$303)</f>
        <v>0</v>
      </c>
      <c r="AU6" s="366">
        <f>SUMIF('様式4'!$AI$4:$AI$303,"4貨1",'様式4'!$Q$4:$Q$303)</f>
        <v>0</v>
      </c>
      <c r="AV6" s="366">
        <f>SUMIF('様式4'!$AI$4:$AI$303,"5貨1",'様式4'!$Q$4:$Q$303)</f>
        <v>0</v>
      </c>
      <c r="AW6" s="366">
        <f>SUMIF('様式4'!$AI$4:$AI$303,"6貨1",'様式4'!$Q$4:$Q$303)</f>
        <v>0</v>
      </c>
      <c r="AX6" s="366">
        <f>SUMIF('様式4'!$AI$4:$AI$303,"7貨1",'様式4'!$Q$4:$Q$303)</f>
        <v>0</v>
      </c>
      <c r="AY6" s="366">
        <f>SUMIF('様式4'!$AI$4:$AI$303,"8貨1",'様式4'!$Q$4:$Q$303)</f>
        <v>0</v>
      </c>
      <c r="AZ6" s="366">
        <f>SUMIF('様式4'!$AI$4:$AI$303,"9貨1",'様式4'!$Q$4:$Q$303)</f>
        <v>0</v>
      </c>
      <c r="BA6" s="366">
        <f>SUMIF('様式4'!$AI$4:$AI$303,"10貨1",'様式4'!$Q$4:$Q$303)</f>
        <v>0</v>
      </c>
      <c r="BB6" s="366">
        <f>SUMIF('様式4'!$AI$4:$AI$303,"11貨1",'様式4'!$Q$4:$Q$303)</f>
        <v>0</v>
      </c>
      <c r="BC6" s="366">
        <f>SUMIF('様式4'!$AI$4:$AI$303,"12貨1",'様式4'!$Q$4:$Q$303)</f>
        <v>0</v>
      </c>
      <c r="BD6" s="366">
        <f>SUMIF('様式4'!$AI$4:$AI$303,"13貨1",'様式4'!$Q$4:$Q$303)</f>
        <v>0</v>
      </c>
      <c r="BE6" s="366">
        <f t="shared" si="11"/>
        <v>0</v>
      </c>
    </row>
    <row r="7" spans="1:57" s="114" customFormat="1" ht="13.5" customHeight="1">
      <c r="A7" s="115"/>
      <c r="B7" s="116" t="s">
        <v>410</v>
      </c>
      <c r="C7" s="120"/>
      <c r="D7" s="118">
        <f>COUNTIF('様式4'!$AI$4:$AI$303,"1貨2")</f>
        <v>0</v>
      </c>
      <c r="E7" s="118">
        <f>COUNTIF('様式4'!$AI$4:$AI$303,"2貨2")</f>
        <v>0</v>
      </c>
      <c r="F7" s="118">
        <f>COUNTIF('様式4'!$AI$4:$AI$303,"3貨2")</f>
        <v>0</v>
      </c>
      <c r="G7" s="118">
        <f>COUNTIF('様式4'!$AI$4:$AI$303,"4貨2")</f>
        <v>0</v>
      </c>
      <c r="H7" s="118">
        <f>COUNTIF('様式4'!$AI$4:$AI$303,"5貨2")</f>
        <v>0</v>
      </c>
      <c r="I7" s="118">
        <f>COUNTIF('様式4'!$AI$4:$AI$303,"6貨2")</f>
        <v>0</v>
      </c>
      <c r="J7" s="118">
        <f>COUNTIF('様式4'!$AI$4:$AI$303,"7貨2")</f>
        <v>0</v>
      </c>
      <c r="K7" s="118">
        <f>COUNTIF('様式4'!$AI$4:$AI$303,"8貨2")</f>
        <v>0</v>
      </c>
      <c r="L7" s="118">
        <f>COUNTIF('様式4'!$AI$4:$AI$303,"9貨2")</f>
        <v>0</v>
      </c>
      <c r="M7" s="118">
        <f>COUNTIF('様式4'!$AI$4:$AI$303,"10貨2")</f>
        <v>0</v>
      </c>
      <c r="N7" s="118">
        <f>COUNTIF('様式4'!$AI$4:$AI$303,"11貨2")</f>
        <v>0</v>
      </c>
      <c r="O7" s="118">
        <f>COUNTIF('様式4'!$AI$4:$AI$303,"12貨2")</f>
        <v>0</v>
      </c>
      <c r="P7" s="118">
        <f>COUNTIF('様式4'!$AI$4:$AI$303,"13貨2")</f>
        <v>0</v>
      </c>
      <c r="Q7" s="118">
        <f t="shared" si="0"/>
        <v>0</v>
      </c>
      <c r="R7" s="119"/>
      <c r="V7" s="149" t="s">
        <v>410</v>
      </c>
      <c r="W7" s="150">
        <f t="shared" si="1"/>
        <v>0</v>
      </c>
      <c r="X7" s="151">
        <f t="shared" si="2"/>
        <v>0</v>
      </c>
      <c r="Y7" s="151">
        <f t="shared" si="3"/>
        <v>0</v>
      </c>
      <c r="Z7" s="151">
        <f t="shared" si="4"/>
        <v>0</v>
      </c>
      <c r="AA7" s="151">
        <f t="shared" si="5"/>
        <v>0</v>
      </c>
      <c r="AB7" s="151">
        <f t="shared" si="5"/>
        <v>0</v>
      </c>
      <c r="AC7" s="151">
        <f t="shared" si="6"/>
        <v>0</v>
      </c>
      <c r="AD7" s="151">
        <f t="shared" si="7"/>
        <v>0</v>
      </c>
      <c r="AE7" s="151">
        <f t="shared" si="8"/>
        <v>0</v>
      </c>
      <c r="AF7" s="152"/>
      <c r="AG7" s="152"/>
      <c r="AH7" s="151">
        <f t="shared" si="9"/>
        <v>0</v>
      </c>
      <c r="AI7" s="153"/>
      <c r="AJ7" s="154">
        <f t="shared" si="10"/>
        <v>0</v>
      </c>
      <c r="AK7" s="148"/>
      <c r="AL7" s="148"/>
      <c r="AM7" s="148"/>
      <c r="AN7" s="148"/>
      <c r="AP7" s="116" t="s">
        <v>410</v>
      </c>
      <c r="AQ7" s="120"/>
      <c r="AR7" s="366">
        <f>SUMIF('様式4'!$AI$4:$AI$303,"1貨2",'様式4'!$Q$4:$Q$303)</f>
        <v>0</v>
      </c>
      <c r="AS7" s="366">
        <f>SUMIF('様式4'!$AI$4:$AI$303,"2貨2",'様式4'!$Q$4:$Q$303)</f>
        <v>0</v>
      </c>
      <c r="AT7" s="366">
        <f>SUMIF('様式4'!$AI$4:$AI$303,"3貨2",'様式4'!$Q$4:$Q$303)</f>
        <v>0</v>
      </c>
      <c r="AU7" s="366">
        <f>SUMIF('様式4'!$AI$4:$AI$303,"4貨2",'様式4'!$Q$4:$Q$303)</f>
        <v>0</v>
      </c>
      <c r="AV7" s="366">
        <f>SUMIF('様式4'!$AI$4:$AI$303,"5貨2",'様式4'!$Q$4:$Q$303)</f>
        <v>0</v>
      </c>
      <c r="AW7" s="366">
        <f>SUMIF('様式4'!$AI$4:$AI$303,"6貨2",'様式4'!$Q$4:$Q$303)</f>
        <v>0</v>
      </c>
      <c r="AX7" s="366">
        <f>SUMIF('様式4'!$AI$4:$AI$303,"7貨2",'様式4'!$Q$4:$Q$303)</f>
        <v>0</v>
      </c>
      <c r="AY7" s="366">
        <f>SUMIF('様式4'!$AI$4:$AI$303,"8貨2",'様式4'!$Q$4:$Q$303)</f>
        <v>0</v>
      </c>
      <c r="AZ7" s="366">
        <f>SUMIF('様式4'!$AI$4:$AI$303,"9貨2",'様式4'!$Q$4:$Q$303)</f>
        <v>0</v>
      </c>
      <c r="BA7" s="366">
        <f>SUMIF('様式4'!$AI$4:$AI$303,"10貨2",'様式4'!$Q$4:$Q$303)</f>
        <v>0</v>
      </c>
      <c r="BB7" s="366">
        <f>SUMIF('様式4'!$AI$4:$AI$303,"11貨2",'様式4'!$Q$4:$Q$303)</f>
        <v>0</v>
      </c>
      <c r="BC7" s="366">
        <f>SUMIF('様式4'!$AI$4:$AI$303,"12貨2",'様式4'!$Q$4:$Q$303)</f>
        <v>0</v>
      </c>
      <c r="BD7" s="366">
        <f>SUMIF('様式4'!$AI$4:$AI$303,"13貨2",'様式4'!$Q$4:$Q$303)</f>
        <v>0</v>
      </c>
      <c r="BE7" s="366">
        <f t="shared" si="11"/>
        <v>0</v>
      </c>
    </row>
    <row r="8" spans="1:57" s="114" customFormat="1" ht="13.5" customHeight="1">
      <c r="A8" s="115"/>
      <c r="B8" s="116" t="s">
        <v>411</v>
      </c>
      <c r="C8" s="120"/>
      <c r="D8" s="118">
        <f>COUNTIF('様式4'!$AI$4:$AI$303,"1貨3")</f>
        <v>0</v>
      </c>
      <c r="E8" s="118">
        <f>COUNTIF('様式4'!$AI$4:$AI$303,"2貨3")</f>
        <v>0</v>
      </c>
      <c r="F8" s="118">
        <f>COUNTIF('様式4'!$AI$4:$AI$303,"3貨3")</f>
        <v>0</v>
      </c>
      <c r="G8" s="118">
        <f>COUNTIF('様式4'!$AI$4:$AI$303,"4貨3")</f>
        <v>0</v>
      </c>
      <c r="H8" s="118">
        <f>COUNTIF('様式4'!$AI$4:$AI$303,"5貨3")</f>
        <v>0</v>
      </c>
      <c r="I8" s="118">
        <f>COUNTIF('様式4'!$AI$4:$AI$303,"6貨3")</f>
        <v>0</v>
      </c>
      <c r="J8" s="118">
        <f>COUNTIF('様式4'!$AI$4:$AI$303,"7貨3")</f>
        <v>0</v>
      </c>
      <c r="K8" s="118">
        <f>COUNTIF('様式4'!$AI$4:$AI$303,"8貨3")</f>
        <v>0</v>
      </c>
      <c r="L8" s="118">
        <f>COUNTIF('様式4'!$AI$4:$AI$303,"9貨3")</f>
        <v>0</v>
      </c>
      <c r="M8" s="118">
        <f>COUNTIF('様式4'!$AI$4:$AI$303,"10貨3")</f>
        <v>0</v>
      </c>
      <c r="N8" s="118">
        <f>COUNTIF('様式4'!$AI$4:$AI$303,"11貨3")</f>
        <v>0</v>
      </c>
      <c r="O8" s="118">
        <f>COUNTIF('様式4'!$AI$4:$AI$303,"12貨3")</f>
        <v>0</v>
      </c>
      <c r="P8" s="118">
        <f>COUNTIF('様式4'!$AI$4:$AI$303,"13貨3")</f>
        <v>0</v>
      </c>
      <c r="Q8" s="118">
        <f t="shared" si="0"/>
        <v>0</v>
      </c>
      <c r="R8" s="119"/>
      <c r="V8" s="149" t="s">
        <v>411</v>
      </c>
      <c r="W8" s="150">
        <f t="shared" si="1"/>
        <v>0</v>
      </c>
      <c r="X8" s="151">
        <f t="shared" si="2"/>
        <v>0</v>
      </c>
      <c r="Y8" s="151">
        <f t="shared" si="3"/>
        <v>0</v>
      </c>
      <c r="Z8" s="151">
        <f t="shared" si="4"/>
        <v>0</v>
      </c>
      <c r="AA8" s="151">
        <f t="shared" si="5"/>
        <v>0</v>
      </c>
      <c r="AB8" s="151">
        <f t="shared" si="5"/>
        <v>0</v>
      </c>
      <c r="AC8" s="151">
        <f t="shared" si="6"/>
        <v>0</v>
      </c>
      <c r="AD8" s="151">
        <f t="shared" si="7"/>
        <v>0</v>
      </c>
      <c r="AE8" s="151">
        <f t="shared" si="8"/>
        <v>0</v>
      </c>
      <c r="AF8" s="152"/>
      <c r="AG8" s="152"/>
      <c r="AH8" s="151">
        <f t="shared" si="9"/>
        <v>0</v>
      </c>
      <c r="AI8" s="153"/>
      <c r="AJ8" s="154">
        <f t="shared" si="10"/>
        <v>0</v>
      </c>
      <c r="AK8" s="148"/>
      <c r="AL8" s="148"/>
      <c r="AM8" s="148"/>
      <c r="AN8" s="148"/>
      <c r="AP8" s="116" t="s">
        <v>411</v>
      </c>
      <c r="AQ8" s="120"/>
      <c r="AR8" s="366">
        <f>SUMIF('様式4'!$AI$4:$AI$303,"1貨3",'様式4'!$Q$4:$Q$303)</f>
        <v>0</v>
      </c>
      <c r="AS8" s="366">
        <f>SUMIF('様式4'!$AI$4:$AI$303,"2貨3",'様式4'!$Q$4:$Q$303)</f>
        <v>0</v>
      </c>
      <c r="AT8" s="366">
        <f>SUMIF('様式4'!$AI$4:$AI$303,"3貨3",'様式4'!$Q$4:$Q$303)</f>
        <v>0</v>
      </c>
      <c r="AU8" s="366">
        <f>SUMIF('様式4'!$AI$4:$AI$303,"4貨3",'様式4'!$Q$4:$Q$303)</f>
        <v>0</v>
      </c>
      <c r="AV8" s="366">
        <f>SUMIF('様式4'!$AI$4:$AI$303,"5貨3",'様式4'!$Q$4:$Q$303)</f>
        <v>0</v>
      </c>
      <c r="AW8" s="366">
        <f>SUMIF('様式4'!$AI$4:$AI$303,"6貨3",'様式4'!$Q$4:$Q$303)</f>
        <v>0</v>
      </c>
      <c r="AX8" s="366">
        <f>SUMIF('様式4'!$AI$4:$AI$303,"7貨3",'様式4'!$Q$4:$Q$303)</f>
        <v>0</v>
      </c>
      <c r="AY8" s="366">
        <f>SUMIF('様式4'!$AI$4:$AI$303,"8貨3",'様式4'!$Q$4:$Q$303)</f>
        <v>0</v>
      </c>
      <c r="AZ8" s="366">
        <f>SUMIF('様式4'!$AI$4:$AI$303,"9貨3",'様式4'!$Q$4:$Q$303)</f>
        <v>0</v>
      </c>
      <c r="BA8" s="366">
        <f>SUMIF('様式4'!$AI$4:$AI$303,"10貨3",'様式4'!$Q$4:$Q$303)</f>
        <v>0</v>
      </c>
      <c r="BB8" s="366">
        <f>SUMIF('様式4'!$AI$4:$AI$303,"11貨3",'様式4'!$Q$4:$Q$303)</f>
        <v>0</v>
      </c>
      <c r="BC8" s="366">
        <f>SUMIF('様式4'!$AI$4:$AI$303,"12貨3",'様式4'!$Q$4:$Q$303)</f>
        <v>0</v>
      </c>
      <c r="BD8" s="366">
        <f>SUMIF('様式4'!$AI$4:$AI$303,"13貨3",'様式4'!$Q$4:$Q$303)</f>
        <v>0</v>
      </c>
      <c r="BE8" s="366">
        <f t="shared" si="11"/>
        <v>0</v>
      </c>
    </row>
    <row r="9" spans="1:57" s="114" customFormat="1" ht="13.5" customHeight="1">
      <c r="A9" s="115"/>
      <c r="B9" s="116" t="s">
        <v>366</v>
      </c>
      <c r="C9" s="120"/>
      <c r="D9" s="118">
        <f>COUNTIF('様式4'!$AI$4:$AI$303,"1小")</f>
        <v>0</v>
      </c>
      <c r="E9" s="118">
        <f>COUNTIF('様式4'!$AI$4:$AI$303,"2小")</f>
        <v>0</v>
      </c>
      <c r="F9" s="118">
        <f>COUNTIF('様式4'!$AI$4:$AI$303,"3小")</f>
        <v>0</v>
      </c>
      <c r="G9" s="118">
        <f>COUNTIF('様式4'!$AI$4:$AI$303,"4小")</f>
        <v>0</v>
      </c>
      <c r="H9" s="118">
        <f>COUNTIF('様式4'!$AI$4:$AI$303,"5小")</f>
        <v>0</v>
      </c>
      <c r="I9" s="118">
        <f>COUNTIF('様式4'!$AI$4:$AI$303,"6小")</f>
        <v>0</v>
      </c>
      <c r="J9" s="118">
        <f>COUNTIF('様式4'!$AI$4:$AI$303,"7小")</f>
        <v>0</v>
      </c>
      <c r="K9" s="118">
        <f>COUNTIF('様式4'!$AI$4:$AI$303,"8小")</f>
        <v>0</v>
      </c>
      <c r="L9" s="118">
        <f>COUNTIF('様式4'!$AI$4:$AI$303,"9小")</f>
        <v>0</v>
      </c>
      <c r="M9" s="118">
        <f>COUNTIF('様式4'!$AI$4:$AI$303,"10小")</f>
        <v>0</v>
      </c>
      <c r="N9" s="118">
        <f>COUNTIF('様式4'!$AI$4:$AI$303,"11小")</f>
        <v>0</v>
      </c>
      <c r="O9" s="118">
        <f>COUNTIF('様式4'!$AI$4:$AI$303,"12小")</f>
        <v>0</v>
      </c>
      <c r="P9" s="118">
        <f>COUNTIF('様式4'!$AI$4:$AI$303,"13小")</f>
        <v>0</v>
      </c>
      <c r="Q9" s="118">
        <f t="shared" si="0"/>
        <v>0</v>
      </c>
      <c r="R9" s="119"/>
      <c r="V9" s="149" t="s">
        <v>366</v>
      </c>
      <c r="W9" s="150">
        <f t="shared" si="1"/>
        <v>0</v>
      </c>
      <c r="X9" s="151">
        <f t="shared" si="2"/>
        <v>0</v>
      </c>
      <c r="Y9" s="151">
        <f t="shared" si="3"/>
        <v>0</v>
      </c>
      <c r="Z9" s="151">
        <f t="shared" si="4"/>
        <v>0</v>
      </c>
      <c r="AA9" s="151">
        <f t="shared" si="5"/>
        <v>0</v>
      </c>
      <c r="AB9" s="151">
        <f t="shared" si="5"/>
        <v>0</v>
      </c>
      <c r="AC9" s="151">
        <f t="shared" si="6"/>
        <v>0</v>
      </c>
      <c r="AD9" s="151">
        <f t="shared" si="7"/>
        <v>0</v>
      </c>
      <c r="AE9" s="151">
        <f t="shared" si="8"/>
        <v>0</v>
      </c>
      <c r="AF9" s="152"/>
      <c r="AG9" s="152"/>
      <c r="AH9" s="151">
        <f t="shared" si="9"/>
        <v>0</v>
      </c>
      <c r="AI9" s="153"/>
      <c r="AJ9" s="154">
        <f t="shared" si="10"/>
        <v>0</v>
      </c>
      <c r="AK9" s="148"/>
      <c r="AL9" s="148"/>
      <c r="AM9" s="148"/>
      <c r="AN9" s="148"/>
      <c r="AP9" s="116" t="s">
        <v>366</v>
      </c>
      <c r="AQ9" s="120"/>
      <c r="AR9" s="366">
        <f>SUMIF('様式4'!$AI$4:$AI$303,"1小",'様式4'!$Q$4:$Q$303)</f>
        <v>0</v>
      </c>
      <c r="AS9" s="366">
        <f>SUMIF('様式4'!$AI$4:$AI$303,"2小",'様式4'!$Q$4:$Q$303)</f>
        <v>0</v>
      </c>
      <c r="AT9" s="366">
        <f>SUMIF('様式4'!$AI$4:$AI$303,"3小",'様式4'!$Q$4:$Q$303)</f>
        <v>0</v>
      </c>
      <c r="AU9" s="366">
        <f>SUMIF('様式4'!$AI$4:$AI$303,"4小",'様式4'!$Q$4:$Q$303)</f>
        <v>0</v>
      </c>
      <c r="AV9" s="366">
        <f>SUMIF('様式4'!$AI$4:$AI$303,"5小",'様式4'!$Q$4:$Q$303)</f>
        <v>0</v>
      </c>
      <c r="AW9" s="366">
        <f>SUMIF('様式4'!$AI$4:$AI$303,"6小",'様式4'!$Q$4:$Q$303)</f>
        <v>0</v>
      </c>
      <c r="AX9" s="366">
        <f>SUMIF('様式4'!$AI$4:$AI$303,"7小",'様式4'!$Q$4:$Q$303)</f>
        <v>0</v>
      </c>
      <c r="AY9" s="366">
        <f>SUMIF('様式4'!$AI$4:$AI$303,"8小",'様式4'!$Q$4:$Q$303)</f>
        <v>0</v>
      </c>
      <c r="AZ9" s="366">
        <f>SUMIF('様式4'!$AI$4:$AI$303,"9小",'様式4'!$Q$4:$Q$303)</f>
        <v>0</v>
      </c>
      <c r="BA9" s="366">
        <f>SUMIF('様式4'!$AI$4:$AI$303,"10小",'様式4'!$Q$4:$Q$303)</f>
        <v>0</v>
      </c>
      <c r="BB9" s="366">
        <f>SUMIF('様式4'!$AI$4:$AI$303,"11小",'様式4'!$Q$4:$Q$303)</f>
        <v>0</v>
      </c>
      <c r="BC9" s="366">
        <f>SUMIF('様式4'!$AI$4:$AI$303,"12小",'様式4'!$Q$4:$Q$303)</f>
        <v>0</v>
      </c>
      <c r="BD9" s="366">
        <f>SUMIF('様式4'!$AI$4:$AI$303,"13小",'様式4'!$Q$4:$Q$303)</f>
        <v>0</v>
      </c>
      <c r="BE9" s="366">
        <f t="shared" si="11"/>
        <v>0</v>
      </c>
    </row>
    <row r="10" spans="1:57" s="114" customFormat="1" ht="13.5" customHeight="1" thickBot="1">
      <c r="A10" s="115"/>
      <c r="B10" s="116" t="s">
        <v>423</v>
      </c>
      <c r="C10" s="117"/>
      <c r="D10" s="118">
        <f>COUNTIF('様式4'!$AI$4:$AI$303,"1バ")</f>
        <v>0</v>
      </c>
      <c r="E10" s="118">
        <f>COUNTIF('様式4'!$AI$4:$AI$303,"2バ")</f>
        <v>0</v>
      </c>
      <c r="F10" s="118">
        <f>COUNTIF('様式4'!$AI$4:$AI$303,"3バ")</f>
        <v>0</v>
      </c>
      <c r="G10" s="118">
        <f>COUNTIF('様式4'!$AI$4:$AI$303,"4バ")</f>
        <v>0</v>
      </c>
      <c r="H10" s="118">
        <f>COUNTIF('様式4'!$AI$4:$AI$303,"5バ")</f>
        <v>0</v>
      </c>
      <c r="I10" s="118">
        <f>COUNTIF('様式4'!$AI$4:$AI$303,"6バ")</f>
        <v>0</v>
      </c>
      <c r="J10" s="118">
        <f>COUNTIF('様式4'!$AI$4:$AI$303,"7バ")</f>
        <v>0</v>
      </c>
      <c r="K10" s="118">
        <f>COUNTIF('様式4'!$AI$4:$AI$303,"8バ")</f>
        <v>0</v>
      </c>
      <c r="L10" s="118">
        <f>COUNTIF('様式4'!$AI$4:$AI$303,"9バ")</f>
        <v>0</v>
      </c>
      <c r="M10" s="118">
        <f>COUNTIF('様式4'!$AI$4:$AI$303,"10バ")</f>
        <v>0</v>
      </c>
      <c r="N10" s="118">
        <f>COUNTIF('様式4'!$AI$4:$AI$303,"11バ")</f>
        <v>0</v>
      </c>
      <c r="O10" s="118">
        <f>COUNTIF('様式4'!$AI$4:$AI$303,"12バ")</f>
        <v>0</v>
      </c>
      <c r="P10" s="118">
        <f>COUNTIF('様式4'!$AI$4:$AI$303,"13バ")</f>
        <v>0</v>
      </c>
      <c r="Q10" s="118">
        <f t="shared" si="0"/>
        <v>0</v>
      </c>
      <c r="R10" s="119"/>
      <c r="V10" s="155" t="s">
        <v>423</v>
      </c>
      <c r="W10" s="156">
        <f t="shared" si="1"/>
        <v>0</v>
      </c>
      <c r="X10" s="157">
        <f t="shared" si="2"/>
        <v>0</v>
      </c>
      <c r="Y10" s="157">
        <f t="shared" si="3"/>
        <v>0</v>
      </c>
      <c r="Z10" s="157">
        <f t="shared" si="4"/>
        <v>0</v>
      </c>
      <c r="AA10" s="157">
        <f t="shared" si="5"/>
        <v>0</v>
      </c>
      <c r="AB10" s="157">
        <f t="shared" si="5"/>
        <v>0</v>
      </c>
      <c r="AC10" s="157">
        <f t="shared" si="6"/>
        <v>0</v>
      </c>
      <c r="AD10" s="157">
        <f t="shared" si="7"/>
        <v>0</v>
      </c>
      <c r="AE10" s="157">
        <f t="shared" si="8"/>
        <v>0</v>
      </c>
      <c r="AF10" s="158"/>
      <c r="AG10" s="158"/>
      <c r="AH10" s="157">
        <f t="shared" si="9"/>
        <v>0</v>
      </c>
      <c r="AI10" s="159"/>
      <c r="AJ10" s="160">
        <f t="shared" si="10"/>
        <v>0</v>
      </c>
      <c r="AK10" s="148" t="s">
        <v>412</v>
      </c>
      <c r="AL10" s="148">
        <f>SUM(W10:AE10)+AH10</f>
        <v>0</v>
      </c>
      <c r="AM10" s="148" t="s">
        <v>413</v>
      </c>
      <c r="AN10" s="148">
        <f>AJ10</f>
        <v>0</v>
      </c>
      <c r="AP10" s="116" t="s">
        <v>423</v>
      </c>
      <c r="AQ10" s="117"/>
      <c r="AR10" s="366">
        <f>SUMIF('様式4'!$AI$4:$AI$303,"1バ",'様式4'!$Q$4:$Q$303)</f>
        <v>0</v>
      </c>
      <c r="AS10" s="366">
        <f>SUMIF('様式4'!$AI$4:$AI$303,"2バ",'様式4'!$Q$4:$Q$303)</f>
        <v>0</v>
      </c>
      <c r="AT10" s="366">
        <f>SUMIF('様式4'!$AI$4:$AI$303,"3バ",'様式4'!$Q$4:$Q$303)</f>
        <v>0</v>
      </c>
      <c r="AU10" s="366">
        <f>SUMIF('様式4'!$AI$4:$AI$303,"4バ",'様式4'!$Q$4:$Q$303)</f>
        <v>0</v>
      </c>
      <c r="AV10" s="366">
        <f>SUMIF('様式4'!$AI$4:$AI$303,"5バ",'様式4'!$Q$4:$Q$303)</f>
        <v>0</v>
      </c>
      <c r="AW10" s="366">
        <f>SUMIF('様式4'!$AI$4:$AI$303,"6バ",'様式4'!$Q$4:$Q$303)</f>
        <v>0</v>
      </c>
      <c r="AX10" s="366">
        <f>SUMIF('様式4'!$AI$4:$AI$303,"7バ",'様式4'!$Q$4:$Q$303)</f>
        <v>0</v>
      </c>
      <c r="AY10" s="366">
        <f>SUMIF('様式4'!$AI$4:$AI$303,"8バ",'様式4'!$Q$4:$Q$303)</f>
        <v>0</v>
      </c>
      <c r="AZ10" s="366">
        <f>SUMIF('様式4'!$AI$4:$AI$303,"9バ",'様式4'!$Q$4:$Q$303)</f>
        <v>0</v>
      </c>
      <c r="BA10" s="366">
        <f>SUMIF('様式4'!$AI$4:$AI$303,"10バ",'様式4'!$Q$4:$Q$303)</f>
        <v>0</v>
      </c>
      <c r="BB10" s="366">
        <f>SUMIF('様式4'!$AI$4:$AI$303,"11バ",'様式4'!$Q$4:$Q$303)</f>
        <v>0</v>
      </c>
      <c r="BC10" s="366">
        <f>SUMIF('様式4'!$AI$4:$AI$303,"12バ",'様式4'!$Q$4:$Q$303)</f>
        <v>0</v>
      </c>
      <c r="BD10" s="366">
        <f>SUMIF('様式4'!$AI$4:$AI$303,"13バ",'様式4'!$Q$4:$Q$303)</f>
        <v>0</v>
      </c>
      <c r="BE10" s="366">
        <f t="shared" si="11"/>
        <v>0</v>
      </c>
    </row>
    <row r="11" spans="1:57" s="114" customFormat="1" ht="13.5" customHeight="1">
      <c r="A11" s="115"/>
      <c r="B11" s="121" t="s">
        <v>594</v>
      </c>
      <c r="C11" s="117"/>
      <c r="D11" s="118">
        <f aca="true" t="shared" si="12" ref="D11:P11">SUM(D5:D10)</f>
        <v>0</v>
      </c>
      <c r="E11" s="118">
        <f t="shared" si="12"/>
        <v>0</v>
      </c>
      <c r="F11" s="118">
        <f t="shared" si="12"/>
        <v>0</v>
      </c>
      <c r="G11" s="118">
        <f t="shared" si="12"/>
        <v>0</v>
      </c>
      <c r="H11" s="118">
        <f t="shared" si="12"/>
        <v>0</v>
      </c>
      <c r="I11" s="118">
        <f t="shared" si="12"/>
        <v>0</v>
      </c>
      <c r="J11" s="118">
        <f t="shared" si="12"/>
        <v>0</v>
      </c>
      <c r="K11" s="118">
        <f t="shared" si="12"/>
        <v>0</v>
      </c>
      <c r="L11" s="118">
        <f t="shared" si="12"/>
        <v>0</v>
      </c>
      <c r="M11" s="118">
        <f t="shared" si="12"/>
        <v>0</v>
      </c>
      <c r="N11" s="118">
        <f t="shared" si="12"/>
        <v>0</v>
      </c>
      <c r="O11" s="118">
        <f t="shared" si="12"/>
        <v>0</v>
      </c>
      <c r="P11" s="118">
        <f t="shared" si="12"/>
        <v>0</v>
      </c>
      <c r="Q11" s="118">
        <f t="shared" si="0"/>
        <v>0</v>
      </c>
      <c r="R11" s="119"/>
      <c r="V11" s="161"/>
      <c r="W11" s="127"/>
      <c r="X11" s="127"/>
      <c r="Y11" s="127"/>
      <c r="Z11" s="127"/>
      <c r="AA11" s="127"/>
      <c r="AK11" s="148" t="s">
        <v>412</v>
      </c>
      <c r="AL11" s="148">
        <f>SUM(W5:AE10)+SUM(AH5:AH10)</f>
        <v>0</v>
      </c>
      <c r="AM11" s="148" t="s">
        <v>413</v>
      </c>
      <c r="AN11" s="148">
        <f>SUM(AJ5:AJ10)</f>
        <v>0</v>
      </c>
      <c r="AP11" s="121" t="s">
        <v>594</v>
      </c>
      <c r="AQ11" s="117"/>
      <c r="AR11" s="366">
        <f aca="true" t="shared" si="13" ref="AR11:BD11">SUM(AR5:AR10)</f>
        <v>0</v>
      </c>
      <c r="AS11" s="366">
        <f t="shared" si="13"/>
        <v>0</v>
      </c>
      <c r="AT11" s="366">
        <f t="shared" si="13"/>
        <v>0</v>
      </c>
      <c r="AU11" s="366">
        <f t="shared" si="13"/>
        <v>0</v>
      </c>
      <c r="AV11" s="366">
        <f t="shared" si="13"/>
        <v>0</v>
      </c>
      <c r="AW11" s="366">
        <f t="shared" si="13"/>
        <v>0</v>
      </c>
      <c r="AX11" s="366">
        <f t="shared" si="13"/>
        <v>0</v>
      </c>
      <c r="AY11" s="366">
        <f t="shared" si="13"/>
        <v>0</v>
      </c>
      <c r="AZ11" s="366">
        <f t="shared" si="13"/>
        <v>0</v>
      </c>
      <c r="BA11" s="366">
        <f t="shared" si="13"/>
        <v>0</v>
      </c>
      <c r="BB11" s="366">
        <f t="shared" si="13"/>
        <v>0</v>
      </c>
      <c r="BC11" s="366">
        <f t="shared" si="13"/>
        <v>0</v>
      </c>
      <c r="BD11" s="366">
        <f t="shared" si="13"/>
        <v>0</v>
      </c>
      <c r="BE11" s="366">
        <f t="shared" si="11"/>
        <v>0</v>
      </c>
    </row>
    <row r="12" spans="1:18" s="114" customFormat="1" ht="3.75" customHeight="1" thickBot="1">
      <c r="A12" s="115"/>
      <c r="B12" s="119"/>
      <c r="C12" s="119"/>
      <c r="D12" s="119"/>
      <c r="E12" s="119"/>
      <c r="F12" s="119"/>
      <c r="G12" s="119"/>
      <c r="H12" s="119"/>
      <c r="I12" s="119"/>
      <c r="J12" s="119"/>
      <c r="K12" s="119"/>
      <c r="L12" s="119"/>
      <c r="M12" s="119"/>
      <c r="N12" s="119"/>
      <c r="O12" s="119"/>
      <c r="P12" s="119"/>
      <c r="Q12" s="119"/>
      <c r="R12" s="119"/>
    </row>
    <row r="13" spans="1:18" s="114" customFormat="1" ht="13.5" customHeight="1" thickBot="1">
      <c r="A13" s="115"/>
      <c r="B13" s="119"/>
      <c r="C13" s="119"/>
      <c r="D13" s="119"/>
      <c r="E13" s="119"/>
      <c r="F13" s="119"/>
      <c r="G13" s="119"/>
      <c r="M13" s="82"/>
      <c r="N13" s="83" t="s">
        <v>1</v>
      </c>
      <c r="O13" s="83"/>
      <c r="P13" s="162">
        <f>IF(Q11=0,"",AL11/AN11*100)</f>
      </c>
      <c r="Q13" s="84" t="s">
        <v>415</v>
      </c>
      <c r="R13" s="85"/>
    </row>
    <row r="14" spans="1:2" s="114" customFormat="1" ht="13.5" customHeight="1">
      <c r="A14" s="122" t="s">
        <v>424</v>
      </c>
      <c r="B14" s="114" t="s">
        <v>417</v>
      </c>
    </row>
    <row r="15" spans="1:17" s="114" customFormat="1" ht="12" customHeight="1" thickBot="1">
      <c r="A15" s="122"/>
      <c r="B15" s="447" t="s">
        <v>426</v>
      </c>
      <c r="C15" s="448"/>
      <c r="D15" s="475" t="s">
        <v>435</v>
      </c>
      <c r="E15" s="476"/>
      <c r="F15" s="476"/>
      <c r="G15" s="476"/>
      <c r="H15" s="477"/>
      <c r="I15" s="475" t="s">
        <v>436</v>
      </c>
      <c r="J15" s="476"/>
      <c r="K15" s="476"/>
      <c r="L15" s="476"/>
      <c r="M15" s="476"/>
      <c r="N15" s="477"/>
      <c r="O15" s="475" t="s">
        <v>334</v>
      </c>
      <c r="P15" s="477"/>
      <c r="Q15" s="471" t="s">
        <v>594</v>
      </c>
    </row>
    <row r="16" spans="1:36" s="114" customFormat="1" ht="34.5" customHeight="1" thickBot="1">
      <c r="A16" s="115"/>
      <c r="B16" s="449"/>
      <c r="C16" s="450"/>
      <c r="D16" s="339" t="s">
        <v>420</v>
      </c>
      <c r="E16" s="340" t="s">
        <v>321</v>
      </c>
      <c r="F16" s="340" t="s">
        <v>27</v>
      </c>
      <c r="G16" s="340" t="s">
        <v>419</v>
      </c>
      <c r="H16" s="340" t="s">
        <v>429</v>
      </c>
      <c r="I16" s="340" t="s">
        <v>7</v>
      </c>
      <c r="J16" s="340" t="s">
        <v>8</v>
      </c>
      <c r="K16" s="340" t="s">
        <v>9</v>
      </c>
      <c r="L16" s="340" t="s">
        <v>10</v>
      </c>
      <c r="M16" s="222" t="s">
        <v>416</v>
      </c>
      <c r="N16" s="222" t="s">
        <v>11</v>
      </c>
      <c r="O16" s="340" t="s">
        <v>322</v>
      </c>
      <c r="P16" s="222" t="s">
        <v>408</v>
      </c>
      <c r="Q16" s="470"/>
      <c r="R16" s="85"/>
      <c r="S16" s="123" t="s">
        <v>434</v>
      </c>
      <c r="V16" s="141" t="s">
        <v>326</v>
      </c>
      <c r="W16" s="344" t="s">
        <v>420</v>
      </c>
      <c r="X16" s="345" t="s">
        <v>428</v>
      </c>
      <c r="Y16" s="345" t="s">
        <v>427</v>
      </c>
      <c r="Z16" s="345" t="s">
        <v>419</v>
      </c>
      <c r="AA16" s="345" t="s">
        <v>429</v>
      </c>
      <c r="AB16" s="345" t="s">
        <v>403</v>
      </c>
      <c r="AC16" s="345" t="s">
        <v>404</v>
      </c>
      <c r="AD16" s="345" t="s">
        <v>405</v>
      </c>
      <c r="AE16" s="345" t="s">
        <v>406</v>
      </c>
      <c r="AF16" s="345" t="s">
        <v>416</v>
      </c>
      <c r="AG16" s="346" t="s">
        <v>430</v>
      </c>
      <c r="AH16" s="345" t="s">
        <v>407</v>
      </c>
      <c r="AI16" s="347" t="s">
        <v>408</v>
      </c>
      <c r="AJ16" s="84" t="s">
        <v>594</v>
      </c>
    </row>
    <row r="17" spans="1:19" s="114" customFormat="1" ht="13.5" customHeight="1">
      <c r="A17" s="115"/>
      <c r="B17" s="474" t="s">
        <v>283</v>
      </c>
      <c r="C17" s="163" t="s">
        <v>431</v>
      </c>
      <c r="D17" s="118">
        <f>COUNTIF('様式4'!$AQ$4:$AQ$303,"1乗")</f>
        <v>0</v>
      </c>
      <c r="E17" s="118">
        <f>COUNTIF('様式4'!$AQ$4:$AQ$303,"2乗")</f>
        <v>0</v>
      </c>
      <c r="F17" s="118">
        <f>COUNTIF('様式4'!$AQ$4:$AQ$303,"3乗")</f>
        <v>0</v>
      </c>
      <c r="G17" s="118">
        <f>COUNTIF('様式4'!$AQ$4:$AQ$303,"4乗")</f>
        <v>0</v>
      </c>
      <c r="H17" s="118">
        <f>COUNTIF('様式4'!$AQ$4:$AQ$303,"5乗")</f>
        <v>0</v>
      </c>
      <c r="I17" s="118">
        <f>COUNTIF('様式4'!$AQ$4:$AQ$303,"6乗")</f>
        <v>0</v>
      </c>
      <c r="J17" s="118">
        <f>COUNTIF('様式4'!$AQ$4:$AQ$303,"7乗")</f>
        <v>0</v>
      </c>
      <c r="K17" s="118">
        <f>COUNTIF('様式4'!$AQ$4:$AQ$303,"8乗")</f>
        <v>0</v>
      </c>
      <c r="L17" s="118">
        <f>COUNTIF('様式4'!$AQ$4:$AQ$303,"9乗")</f>
        <v>0</v>
      </c>
      <c r="M17" s="118">
        <f>COUNTIF('様式4'!$AQ$4:$AQ$303,"10乗")</f>
        <v>0</v>
      </c>
      <c r="N17" s="118">
        <f>COUNTIF('様式4'!$AQ$4:$AQ$303,"11乗")</f>
        <v>0</v>
      </c>
      <c r="O17" s="118">
        <f>COUNTIF('様式4'!$AQ$4:$AQ$303,"12乗")</f>
        <v>0</v>
      </c>
      <c r="P17" s="118">
        <f>COUNTIF('様式4'!$AQ$4:$AQ$303,"13乗")</f>
        <v>0</v>
      </c>
      <c r="Q17" s="118">
        <f aca="true" t="shared" si="14" ref="Q17:Q35">SUM(D17:P17)</f>
        <v>0</v>
      </c>
      <c r="R17" s="119"/>
      <c r="S17" s="127"/>
    </row>
    <row r="18" spans="1:19" s="114" customFormat="1" ht="13.5" customHeight="1">
      <c r="A18" s="115"/>
      <c r="B18" s="474"/>
      <c r="C18" s="163" t="s">
        <v>499</v>
      </c>
      <c r="D18" s="164"/>
      <c r="E18" s="164"/>
      <c r="F18" s="164"/>
      <c r="G18" s="164"/>
      <c r="H18" s="164"/>
      <c r="I18" s="164"/>
      <c r="J18" s="164"/>
      <c r="K18" s="164"/>
      <c r="L18" s="164"/>
      <c r="M18" s="164"/>
      <c r="N18" s="164"/>
      <c r="O18" s="164"/>
      <c r="P18" s="164"/>
      <c r="Q18" s="118">
        <f t="shared" si="14"/>
        <v>0</v>
      </c>
      <c r="R18" s="119"/>
      <c r="S18" s="118">
        <f>COUNTIF('様式4'!$AQ$4:$AQ$303,"乗")-SUM(D18:P18)</f>
        <v>0</v>
      </c>
    </row>
    <row r="19" spans="1:40" s="114" customFormat="1" ht="13.5" customHeight="1">
      <c r="A19" s="115"/>
      <c r="B19" s="474"/>
      <c r="C19" s="163" t="s">
        <v>594</v>
      </c>
      <c r="D19" s="125">
        <f aca="true" t="shared" si="15" ref="D19:P19">SUM(D17:D18)</f>
        <v>0</v>
      </c>
      <c r="E19" s="125">
        <f t="shared" si="15"/>
        <v>0</v>
      </c>
      <c r="F19" s="125">
        <f t="shared" si="15"/>
        <v>0</v>
      </c>
      <c r="G19" s="125">
        <f t="shared" si="15"/>
        <v>0</v>
      </c>
      <c r="H19" s="125">
        <f t="shared" si="15"/>
        <v>0</v>
      </c>
      <c r="I19" s="125">
        <f t="shared" si="15"/>
        <v>0</v>
      </c>
      <c r="J19" s="125">
        <f t="shared" si="15"/>
        <v>0</v>
      </c>
      <c r="K19" s="125">
        <f t="shared" si="15"/>
        <v>0</v>
      </c>
      <c r="L19" s="125">
        <f t="shared" si="15"/>
        <v>0</v>
      </c>
      <c r="M19" s="125">
        <f t="shared" si="15"/>
        <v>0</v>
      </c>
      <c r="N19" s="125">
        <f t="shared" si="15"/>
        <v>0</v>
      </c>
      <c r="O19" s="125">
        <f t="shared" si="15"/>
        <v>0</v>
      </c>
      <c r="P19" s="125">
        <f t="shared" si="15"/>
        <v>0</v>
      </c>
      <c r="Q19" s="118">
        <f t="shared" si="14"/>
        <v>0</v>
      </c>
      <c r="R19" s="119"/>
      <c r="S19" s="126"/>
      <c r="V19" s="165" t="s">
        <v>630</v>
      </c>
      <c r="W19" s="151">
        <f>D19*$Y41*$AD$41</f>
        <v>0</v>
      </c>
      <c r="X19" s="151">
        <f>E19*$Y41*$AD$42</f>
        <v>0</v>
      </c>
      <c r="Y19" s="151">
        <f>F19*$Y41*$AD$43</f>
        <v>0</v>
      </c>
      <c r="Z19" s="151">
        <f>G19*$Y41*$AD$44</f>
        <v>0</v>
      </c>
      <c r="AA19" s="151">
        <f>H19*$Y41*$AD$45</f>
        <v>0</v>
      </c>
      <c r="AB19" s="151">
        <f>I19*$Y41*$AD$46</f>
        <v>0</v>
      </c>
      <c r="AC19" s="151">
        <f>J19*$Y41*$AD$47</f>
        <v>0</v>
      </c>
      <c r="AD19" s="151">
        <f>K19*$Y41*$AD$48</f>
        <v>0</v>
      </c>
      <c r="AE19" s="151">
        <f>L19*$Y41*$AD$49</f>
        <v>0</v>
      </c>
      <c r="AF19" s="151"/>
      <c r="AG19" s="151"/>
      <c r="AH19" s="151">
        <f>O19*$Y41*$AD$49</f>
        <v>0</v>
      </c>
      <c r="AI19" s="151"/>
      <c r="AJ19" s="151">
        <f>(Q19+S18)*$Y41</f>
        <v>0</v>
      </c>
      <c r="AK19" s="148" t="s">
        <v>412</v>
      </c>
      <c r="AL19" s="148">
        <f>SUM(W19:AE19)+AH19</f>
        <v>0</v>
      </c>
      <c r="AM19" s="148" t="s">
        <v>413</v>
      </c>
      <c r="AN19" s="148">
        <f>AJ19</f>
        <v>0</v>
      </c>
    </row>
    <row r="20" spans="1:40" s="114" customFormat="1" ht="13.5" customHeight="1">
      <c r="A20" s="115"/>
      <c r="B20" s="474" t="s">
        <v>409</v>
      </c>
      <c r="C20" s="163" t="s">
        <v>431</v>
      </c>
      <c r="D20" s="118">
        <f>COUNTIF('様式4'!$AQ$4:$AQ$303,"1貨1")</f>
        <v>0</v>
      </c>
      <c r="E20" s="118">
        <f>COUNTIF('様式4'!$AQ$4:$AQ$303,"2貨1")</f>
        <v>0</v>
      </c>
      <c r="F20" s="118">
        <f>COUNTIF('様式4'!$AQ$4:$AQ$303,"3貨1")</f>
        <v>0</v>
      </c>
      <c r="G20" s="118">
        <f>COUNTIF('様式4'!$AQ$4:$AQ$303,"4貨1")</f>
        <v>0</v>
      </c>
      <c r="H20" s="118">
        <f>COUNTIF('様式4'!$AQ$4:$AQ$303,"5貨1")</f>
        <v>0</v>
      </c>
      <c r="I20" s="118">
        <f>COUNTIF('様式4'!$AQ$4:$AQ$303,"6貨1")</f>
        <v>0</v>
      </c>
      <c r="J20" s="118">
        <f>COUNTIF('様式4'!$AQ$4:$AQ$303,"7貨1")</f>
        <v>0</v>
      </c>
      <c r="K20" s="118">
        <f>COUNTIF('様式4'!$AQ$4:$AQ$303,"8貨1")</f>
        <v>0</v>
      </c>
      <c r="L20" s="118">
        <f>COUNTIF('様式4'!$AQ$4:$AQ$303,"9貨1")</f>
        <v>0</v>
      </c>
      <c r="M20" s="118">
        <f>COUNTIF('様式4'!$AQ$4:$AQ$303,"10貨1")</f>
        <v>0</v>
      </c>
      <c r="N20" s="118">
        <f>COUNTIF('様式4'!$AQ$4:$AQ$303,"11貨1")</f>
        <v>0</v>
      </c>
      <c r="O20" s="118">
        <f>COUNTIF('様式4'!$AQ$4:$AQ$303,"12貨1")</f>
        <v>0</v>
      </c>
      <c r="P20" s="118">
        <f>COUNTIF('様式4'!$AQ$4:$AQ$303,"13貨1")</f>
        <v>0</v>
      </c>
      <c r="Q20" s="118">
        <f t="shared" si="14"/>
        <v>0</v>
      </c>
      <c r="R20" s="119"/>
      <c r="S20" s="126"/>
      <c r="W20" s="148"/>
      <c r="X20" s="148"/>
      <c r="Y20" s="148"/>
      <c r="Z20" s="148"/>
      <c r="AA20" s="148"/>
      <c r="AB20" s="148"/>
      <c r="AC20" s="148"/>
      <c r="AD20" s="148"/>
      <c r="AE20" s="148"/>
      <c r="AF20" s="148"/>
      <c r="AG20" s="148"/>
      <c r="AH20" s="148"/>
      <c r="AI20" s="148"/>
      <c r="AJ20" s="148"/>
      <c r="AK20" s="148"/>
      <c r="AL20" s="148"/>
      <c r="AM20" s="148"/>
      <c r="AN20" s="148"/>
    </row>
    <row r="21" spans="1:40" s="114" customFormat="1" ht="13.5" customHeight="1">
      <c r="A21" s="115"/>
      <c r="B21" s="474"/>
      <c r="C21" s="163" t="s">
        <v>499</v>
      </c>
      <c r="D21" s="164"/>
      <c r="E21" s="164"/>
      <c r="F21" s="164"/>
      <c r="G21" s="164"/>
      <c r="H21" s="164"/>
      <c r="I21" s="164"/>
      <c r="J21" s="164"/>
      <c r="K21" s="164"/>
      <c r="L21" s="164"/>
      <c r="M21" s="164"/>
      <c r="N21" s="164"/>
      <c r="O21" s="164"/>
      <c r="P21" s="164"/>
      <c r="Q21" s="118">
        <f t="shared" si="14"/>
        <v>0</v>
      </c>
      <c r="R21" s="119"/>
      <c r="S21" s="118">
        <f>COUNTIF('様式4'!$AQ$4:$AQ$303,"貨1")-SUM(D21:P21)</f>
        <v>0</v>
      </c>
      <c r="W21" s="148"/>
      <c r="X21" s="148"/>
      <c r="Y21" s="148"/>
      <c r="Z21" s="148"/>
      <c r="AA21" s="148"/>
      <c r="AB21" s="148"/>
      <c r="AC21" s="148"/>
      <c r="AD21" s="148"/>
      <c r="AE21" s="148"/>
      <c r="AF21" s="148"/>
      <c r="AG21" s="148"/>
      <c r="AH21" s="148"/>
      <c r="AI21" s="148"/>
      <c r="AJ21" s="148"/>
      <c r="AK21" s="148"/>
      <c r="AL21" s="148"/>
      <c r="AM21" s="148"/>
      <c r="AN21" s="148"/>
    </row>
    <row r="22" spans="1:40" s="114" customFormat="1" ht="13.5" customHeight="1">
      <c r="A22" s="115"/>
      <c r="B22" s="474"/>
      <c r="C22" s="163" t="s">
        <v>594</v>
      </c>
      <c r="D22" s="125">
        <f aca="true" t="shared" si="16" ref="D22:P22">SUM(D20:D21)</f>
        <v>0</v>
      </c>
      <c r="E22" s="125">
        <f t="shared" si="16"/>
        <v>0</v>
      </c>
      <c r="F22" s="125">
        <f t="shared" si="16"/>
        <v>0</v>
      </c>
      <c r="G22" s="125">
        <f t="shared" si="16"/>
        <v>0</v>
      </c>
      <c r="H22" s="125">
        <f t="shared" si="16"/>
        <v>0</v>
      </c>
      <c r="I22" s="125">
        <f t="shared" si="16"/>
        <v>0</v>
      </c>
      <c r="J22" s="125">
        <f t="shared" si="16"/>
        <v>0</v>
      </c>
      <c r="K22" s="125">
        <f t="shared" si="16"/>
        <v>0</v>
      </c>
      <c r="L22" s="125">
        <f t="shared" si="16"/>
        <v>0</v>
      </c>
      <c r="M22" s="125">
        <f t="shared" si="16"/>
        <v>0</v>
      </c>
      <c r="N22" s="125">
        <f t="shared" si="16"/>
        <v>0</v>
      </c>
      <c r="O22" s="125">
        <f t="shared" si="16"/>
        <v>0</v>
      </c>
      <c r="P22" s="125">
        <f t="shared" si="16"/>
        <v>0</v>
      </c>
      <c r="Q22" s="118">
        <f t="shared" si="14"/>
        <v>0</v>
      </c>
      <c r="R22" s="119"/>
      <c r="S22" s="126"/>
      <c r="V22" s="163" t="s">
        <v>409</v>
      </c>
      <c r="W22" s="151">
        <f>D22*$Y42*$AD$41</f>
        <v>0</v>
      </c>
      <c r="X22" s="151">
        <f>E22*$Y42*$AD$42</f>
        <v>0</v>
      </c>
      <c r="Y22" s="151">
        <f>F22*$Y42*$AD$43</f>
        <v>0</v>
      </c>
      <c r="Z22" s="151">
        <f>G22*$Y42*$AD$44</f>
        <v>0</v>
      </c>
      <c r="AA22" s="151">
        <f>H22*$Y42*$AD$45</f>
        <v>0</v>
      </c>
      <c r="AB22" s="151">
        <f>I22*$Y42*$AD$46</f>
        <v>0</v>
      </c>
      <c r="AC22" s="151">
        <f>J22*$Y42*$AD$47</f>
        <v>0</v>
      </c>
      <c r="AD22" s="151">
        <f>K22*$Y42*$AD$48</f>
        <v>0</v>
      </c>
      <c r="AE22" s="151">
        <f>L22*$Y42*$AD$49</f>
        <v>0</v>
      </c>
      <c r="AF22" s="151"/>
      <c r="AG22" s="151"/>
      <c r="AH22" s="151">
        <f>O22*$Y42*$AD$49</f>
        <v>0</v>
      </c>
      <c r="AI22" s="152"/>
      <c r="AJ22" s="151">
        <f>(Q22+S21)*$Y42</f>
        <v>0</v>
      </c>
      <c r="AK22" s="148" t="s">
        <v>412</v>
      </c>
      <c r="AL22" s="148">
        <f>SUM(W22:AE31)+SUM(AH22:AH31)</f>
        <v>0</v>
      </c>
      <c r="AM22" s="148" t="s">
        <v>413</v>
      </c>
      <c r="AN22" s="148">
        <f>SUM(AJ22:AJ31)</f>
        <v>0</v>
      </c>
    </row>
    <row r="23" spans="1:40" s="114" customFormat="1" ht="13.5" customHeight="1">
      <c r="A23" s="115"/>
      <c r="B23" s="474" t="s">
        <v>410</v>
      </c>
      <c r="C23" s="163" t="s">
        <v>431</v>
      </c>
      <c r="D23" s="118">
        <f>COUNTIF('様式4'!$AQ$4:$AQ$303,"1貨2")</f>
        <v>0</v>
      </c>
      <c r="E23" s="118">
        <f>COUNTIF('様式4'!$AQ$4:$AQ$303,"2貨2")</f>
        <v>0</v>
      </c>
      <c r="F23" s="118">
        <f>COUNTIF('様式4'!$AQ$4:$AQ$303,"3貨2")</f>
        <v>0</v>
      </c>
      <c r="G23" s="118">
        <f>COUNTIF('様式4'!$AQ$4:$AQ$303,"4貨2")</f>
        <v>0</v>
      </c>
      <c r="H23" s="118">
        <f>COUNTIF('様式4'!$AQ$4:$AQ$303,"5貨2")</f>
        <v>0</v>
      </c>
      <c r="I23" s="118">
        <f>COUNTIF('様式4'!$AQ$4:$AQ$303,"6貨2")</f>
        <v>0</v>
      </c>
      <c r="J23" s="118">
        <f>COUNTIF('様式4'!$AQ$4:$AQ$303,"7貨2")</f>
        <v>0</v>
      </c>
      <c r="K23" s="118">
        <f>COUNTIF('様式4'!$AQ$4:$AQ$303,"8貨2")</f>
        <v>0</v>
      </c>
      <c r="L23" s="118">
        <f>COUNTIF('様式4'!$AQ$4:$AQ$303,"9貨2")</f>
        <v>0</v>
      </c>
      <c r="M23" s="118">
        <f>COUNTIF('様式4'!$AQ$4:$AQ$303,"10貨2")</f>
        <v>0</v>
      </c>
      <c r="N23" s="118">
        <f>COUNTIF('様式4'!$AQ$4:$AQ$303,"11貨2")</f>
        <v>0</v>
      </c>
      <c r="O23" s="118">
        <f>COUNTIF('様式4'!$AQ$4:$AQ$303,"12貨2")</f>
        <v>0</v>
      </c>
      <c r="P23" s="118">
        <f>COUNTIF('様式4'!$AQ$4:$AQ$303,"13貨2")</f>
        <v>0</v>
      </c>
      <c r="Q23" s="118">
        <f t="shared" si="14"/>
        <v>0</v>
      </c>
      <c r="R23" s="119"/>
      <c r="S23" s="126"/>
      <c r="W23" s="148"/>
      <c r="X23" s="148"/>
      <c r="Y23" s="148"/>
      <c r="Z23" s="148"/>
      <c r="AA23" s="148"/>
      <c r="AB23" s="148"/>
      <c r="AC23" s="148"/>
      <c r="AD23" s="148"/>
      <c r="AE23" s="148"/>
      <c r="AF23" s="148"/>
      <c r="AG23" s="148"/>
      <c r="AH23" s="148"/>
      <c r="AI23" s="148"/>
      <c r="AJ23" s="148"/>
      <c r="AK23" s="148"/>
      <c r="AL23" s="148"/>
      <c r="AM23" s="148"/>
      <c r="AN23" s="148"/>
    </row>
    <row r="24" spans="1:40" s="114" customFormat="1" ht="13.5" customHeight="1">
      <c r="A24" s="115"/>
      <c r="B24" s="474"/>
      <c r="C24" s="163" t="s">
        <v>499</v>
      </c>
      <c r="D24" s="164"/>
      <c r="E24" s="164"/>
      <c r="F24" s="164"/>
      <c r="G24" s="164"/>
      <c r="H24" s="164"/>
      <c r="I24" s="164"/>
      <c r="J24" s="164"/>
      <c r="K24" s="164"/>
      <c r="L24" s="164"/>
      <c r="M24" s="164"/>
      <c r="N24" s="164"/>
      <c r="O24" s="164"/>
      <c r="P24" s="164"/>
      <c r="Q24" s="118">
        <f t="shared" si="14"/>
        <v>0</v>
      </c>
      <c r="R24" s="119"/>
      <c r="S24" s="118">
        <f>COUNTIF('様式4'!$AQ$4:$AQ$303,"貨2")-SUM(D24:P24)</f>
        <v>0</v>
      </c>
      <c r="W24" s="148"/>
      <c r="X24" s="148"/>
      <c r="Y24" s="148"/>
      <c r="Z24" s="148"/>
      <c r="AA24" s="148"/>
      <c r="AB24" s="148"/>
      <c r="AC24" s="148"/>
      <c r="AD24" s="148"/>
      <c r="AE24" s="148"/>
      <c r="AF24" s="148"/>
      <c r="AG24" s="148"/>
      <c r="AH24" s="148"/>
      <c r="AI24" s="148"/>
      <c r="AJ24" s="148"/>
      <c r="AK24" s="148"/>
      <c r="AL24" s="148"/>
      <c r="AM24" s="148"/>
      <c r="AN24" s="148"/>
    </row>
    <row r="25" spans="1:40" s="114" customFormat="1" ht="13.5" customHeight="1">
      <c r="A25" s="115"/>
      <c r="B25" s="474"/>
      <c r="C25" s="163" t="s">
        <v>594</v>
      </c>
      <c r="D25" s="125">
        <f aca="true" t="shared" si="17" ref="D25:P25">SUM(D23:D24)</f>
        <v>0</v>
      </c>
      <c r="E25" s="125">
        <f t="shared" si="17"/>
        <v>0</v>
      </c>
      <c r="F25" s="125">
        <f t="shared" si="17"/>
        <v>0</v>
      </c>
      <c r="G25" s="125">
        <f t="shared" si="17"/>
        <v>0</v>
      </c>
      <c r="H25" s="125">
        <f t="shared" si="17"/>
        <v>0</v>
      </c>
      <c r="I25" s="125">
        <f t="shared" si="17"/>
        <v>0</v>
      </c>
      <c r="J25" s="125">
        <f t="shared" si="17"/>
        <v>0</v>
      </c>
      <c r="K25" s="125">
        <f t="shared" si="17"/>
        <v>0</v>
      </c>
      <c r="L25" s="125">
        <f t="shared" si="17"/>
        <v>0</v>
      </c>
      <c r="M25" s="125">
        <f t="shared" si="17"/>
        <v>0</v>
      </c>
      <c r="N25" s="125">
        <f t="shared" si="17"/>
        <v>0</v>
      </c>
      <c r="O25" s="125">
        <f t="shared" si="17"/>
        <v>0</v>
      </c>
      <c r="P25" s="125">
        <f t="shared" si="17"/>
        <v>0</v>
      </c>
      <c r="Q25" s="118">
        <f t="shared" si="14"/>
        <v>0</v>
      </c>
      <c r="R25" s="119"/>
      <c r="S25" s="126"/>
      <c r="V25" s="163" t="s">
        <v>410</v>
      </c>
      <c r="W25" s="151">
        <f>D25*$Y43*$AD$41</f>
        <v>0</v>
      </c>
      <c r="X25" s="151">
        <f>E25*$Y43*$AD$42</f>
        <v>0</v>
      </c>
      <c r="Y25" s="151">
        <f>F25*$Y43*$AD$43</f>
        <v>0</v>
      </c>
      <c r="Z25" s="151">
        <f>G25*$Y43*$AD$44</f>
        <v>0</v>
      </c>
      <c r="AA25" s="151">
        <f>H25*$Y43*$AD$45</f>
        <v>0</v>
      </c>
      <c r="AB25" s="151">
        <f>I25*$Y43*$AD$46</f>
        <v>0</v>
      </c>
      <c r="AC25" s="151">
        <f>J25*$Y43*$AD$47</f>
        <v>0</v>
      </c>
      <c r="AD25" s="151">
        <f>K25*$Y43*$AD$48</f>
        <v>0</v>
      </c>
      <c r="AE25" s="151">
        <f>L25*$Y43*$AD$49</f>
        <v>0</v>
      </c>
      <c r="AF25" s="151"/>
      <c r="AG25" s="151"/>
      <c r="AH25" s="151">
        <f>O25*$Y43*$AD$49</f>
        <v>0</v>
      </c>
      <c r="AI25" s="152"/>
      <c r="AJ25" s="151">
        <f>(Q25+S24)*$Y43</f>
        <v>0</v>
      </c>
      <c r="AK25" s="148"/>
      <c r="AL25" s="148"/>
      <c r="AM25" s="148"/>
      <c r="AN25" s="148"/>
    </row>
    <row r="26" spans="1:40" s="114" customFormat="1" ht="13.5" customHeight="1">
      <c r="A26" s="115"/>
      <c r="B26" s="474" t="s">
        <v>411</v>
      </c>
      <c r="C26" s="163" t="s">
        <v>431</v>
      </c>
      <c r="D26" s="118">
        <f>COUNTIF('様式4'!$AQ$4:$AQ$303,"1貨3")</f>
        <v>0</v>
      </c>
      <c r="E26" s="118">
        <f>COUNTIF('様式4'!$AQ$4:$AQ$303,"2貨3")</f>
        <v>0</v>
      </c>
      <c r="F26" s="118">
        <f>COUNTIF('様式4'!$AQ$4:$AQ$303,"3貨3")</f>
        <v>0</v>
      </c>
      <c r="G26" s="118">
        <f>COUNTIF('様式4'!$AQ$4:$AQ$303,"4貨3")</f>
        <v>0</v>
      </c>
      <c r="H26" s="118">
        <f>COUNTIF('様式4'!$AQ$4:$AQ$303,"5貨3")</f>
        <v>0</v>
      </c>
      <c r="I26" s="118">
        <f>COUNTIF('様式4'!$AQ$4:$AQ$303,"6貨3")</f>
        <v>0</v>
      </c>
      <c r="J26" s="118">
        <f>COUNTIF('様式4'!$AQ$4:$AQ$303,"7貨3")</f>
        <v>0</v>
      </c>
      <c r="K26" s="118">
        <f>COUNTIF('様式4'!$AQ$4:$AQ$303,"8貨3")</f>
        <v>0</v>
      </c>
      <c r="L26" s="118">
        <f>COUNTIF('様式4'!$AQ$4:$AQ$303,"9貨3")</f>
        <v>0</v>
      </c>
      <c r="M26" s="118">
        <f>COUNTIF('様式4'!$AQ$4:$AQ$303,"10貨3")</f>
        <v>0</v>
      </c>
      <c r="N26" s="118">
        <f>COUNTIF('様式4'!$AQ$4:$AQ$303,"11貨3")</f>
        <v>0</v>
      </c>
      <c r="O26" s="118">
        <f>COUNTIF('様式4'!$AQ$4:$AQ$303,"12貨3")</f>
        <v>0</v>
      </c>
      <c r="P26" s="118">
        <f>COUNTIF('様式4'!$AQ$4:$AQ$303,"13貨3")</f>
        <v>0</v>
      </c>
      <c r="Q26" s="118">
        <f t="shared" si="14"/>
        <v>0</v>
      </c>
      <c r="R26" s="119"/>
      <c r="S26" s="126"/>
      <c r="W26" s="148"/>
      <c r="X26" s="148"/>
      <c r="Y26" s="148"/>
      <c r="Z26" s="148"/>
      <c r="AA26" s="148"/>
      <c r="AB26" s="148"/>
      <c r="AC26" s="148"/>
      <c r="AD26" s="148"/>
      <c r="AE26" s="148"/>
      <c r="AF26" s="148"/>
      <c r="AG26" s="148"/>
      <c r="AH26" s="148"/>
      <c r="AI26" s="148"/>
      <c r="AJ26" s="148"/>
      <c r="AK26" s="148"/>
      <c r="AL26" s="148"/>
      <c r="AM26" s="148"/>
      <c r="AN26" s="148"/>
    </row>
    <row r="27" spans="1:40" s="114" customFormat="1" ht="13.5" customHeight="1">
      <c r="A27" s="115"/>
      <c r="B27" s="474"/>
      <c r="C27" s="163" t="s">
        <v>499</v>
      </c>
      <c r="D27" s="164"/>
      <c r="E27" s="164"/>
      <c r="F27" s="164"/>
      <c r="G27" s="164"/>
      <c r="H27" s="164"/>
      <c r="I27" s="164"/>
      <c r="J27" s="164"/>
      <c r="K27" s="164"/>
      <c r="L27" s="164"/>
      <c r="M27" s="164"/>
      <c r="N27" s="164"/>
      <c r="O27" s="164"/>
      <c r="P27" s="164"/>
      <c r="Q27" s="118">
        <f t="shared" si="14"/>
        <v>0</v>
      </c>
      <c r="R27" s="119"/>
      <c r="S27" s="118">
        <f>COUNTIF('様式4'!$AQ$4:$AQ$303,"貨3")-SUM(D27:P27)</f>
        <v>0</v>
      </c>
      <c r="W27" s="148"/>
      <c r="X27" s="148"/>
      <c r="Y27" s="148"/>
      <c r="Z27" s="148"/>
      <c r="AA27" s="148"/>
      <c r="AB27" s="148"/>
      <c r="AC27" s="148"/>
      <c r="AD27" s="148"/>
      <c r="AE27" s="148"/>
      <c r="AF27" s="148"/>
      <c r="AG27" s="148"/>
      <c r="AH27" s="148"/>
      <c r="AI27" s="148"/>
      <c r="AJ27" s="148"/>
      <c r="AK27" s="148"/>
      <c r="AL27" s="148"/>
      <c r="AM27" s="148"/>
      <c r="AN27" s="148"/>
    </row>
    <row r="28" spans="1:40" s="114" customFormat="1" ht="13.5" customHeight="1">
      <c r="A28" s="115"/>
      <c r="B28" s="474"/>
      <c r="C28" s="163" t="s">
        <v>594</v>
      </c>
      <c r="D28" s="125">
        <f aca="true" t="shared" si="18" ref="D28:P28">SUM(D26:D27)</f>
        <v>0</v>
      </c>
      <c r="E28" s="125">
        <f t="shared" si="18"/>
        <v>0</v>
      </c>
      <c r="F28" s="125">
        <f t="shared" si="18"/>
        <v>0</v>
      </c>
      <c r="G28" s="125">
        <f t="shared" si="18"/>
        <v>0</v>
      </c>
      <c r="H28" s="125">
        <f t="shared" si="18"/>
        <v>0</v>
      </c>
      <c r="I28" s="125">
        <f t="shared" si="18"/>
        <v>0</v>
      </c>
      <c r="J28" s="125">
        <f t="shared" si="18"/>
        <v>0</v>
      </c>
      <c r="K28" s="125">
        <f t="shared" si="18"/>
        <v>0</v>
      </c>
      <c r="L28" s="125">
        <f t="shared" si="18"/>
        <v>0</v>
      </c>
      <c r="M28" s="125">
        <f t="shared" si="18"/>
        <v>0</v>
      </c>
      <c r="N28" s="125">
        <f t="shared" si="18"/>
        <v>0</v>
      </c>
      <c r="O28" s="125">
        <f t="shared" si="18"/>
        <v>0</v>
      </c>
      <c r="P28" s="125">
        <f t="shared" si="18"/>
        <v>0</v>
      </c>
      <c r="Q28" s="118">
        <f t="shared" si="14"/>
        <v>0</v>
      </c>
      <c r="R28" s="119"/>
      <c r="S28" s="126"/>
      <c r="V28" s="163" t="s">
        <v>411</v>
      </c>
      <c r="W28" s="151">
        <f>D28*$Y44*$AD$41</f>
        <v>0</v>
      </c>
      <c r="X28" s="151">
        <f>E28*$Y44*$AD$42</f>
        <v>0</v>
      </c>
      <c r="Y28" s="151">
        <f>F28*$Y44*$AD$43</f>
        <v>0</v>
      </c>
      <c r="Z28" s="151">
        <f>G28*$Y44*$AD$44</f>
        <v>0</v>
      </c>
      <c r="AA28" s="151">
        <f>H28*$Y44*$AD$45</f>
        <v>0</v>
      </c>
      <c r="AB28" s="151">
        <f>I28*$Y44*$AD$46</f>
        <v>0</v>
      </c>
      <c r="AC28" s="151">
        <f>J28*$Y44*$AD$47</f>
        <v>0</v>
      </c>
      <c r="AD28" s="151">
        <f>K28*$Y44*$AD$48</f>
        <v>0</v>
      </c>
      <c r="AE28" s="151">
        <f>L28*$Y44*$AD$49</f>
        <v>0</v>
      </c>
      <c r="AF28" s="151"/>
      <c r="AG28" s="151"/>
      <c r="AH28" s="151">
        <f>O28*$Y44*$AD$49</f>
        <v>0</v>
      </c>
      <c r="AI28" s="152"/>
      <c r="AJ28" s="151">
        <f>(Q28+S27)*$Y44</f>
        <v>0</v>
      </c>
      <c r="AK28" s="148"/>
      <c r="AL28" s="148"/>
      <c r="AM28" s="148"/>
      <c r="AN28" s="148"/>
    </row>
    <row r="29" spans="1:40" s="114" customFormat="1" ht="13.5" customHeight="1">
      <c r="A29" s="115"/>
      <c r="B29" s="474" t="s">
        <v>366</v>
      </c>
      <c r="C29" s="163" t="s">
        <v>431</v>
      </c>
      <c r="D29" s="118">
        <f>COUNTIF('様式4'!$AQ$4:$AQ$303,"1小")</f>
        <v>0</v>
      </c>
      <c r="E29" s="118">
        <f>COUNTIF('様式4'!$AQ$4:$AQ$303,"2小")</f>
        <v>0</v>
      </c>
      <c r="F29" s="118">
        <f>COUNTIF('様式4'!$AQ$4:$AQ$303,"3小")</f>
        <v>0</v>
      </c>
      <c r="G29" s="118">
        <f>COUNTIF('様式4'!$AQ$4:$AQ$303,"4小")</f>
        <v>0</v>
      </c>
      <c r="H29" s="118">
        <f>COUNTIF('様式4'!$AQ$4:$AQ$303,"5小")</f>
        <v>0</v>
      </c>
      <c r="I29" s="118">
        <f>COUNTIF('様式4'!$AQ$4:$AQ$303,"6小")</f>
        <v>0</v>
      </c>
      <c r="J29" s="118">
        <f>COUNTIF('様式4'!$AQ$4:$AQ$303,"7小")</f>
        <v>0</v>
      </c>
      <c r="K29" s="118">
        <f>COUNTIF('様式4'!$AQ$4:$AQ$303,"8小")</f>
        <v>0</v>
      </c>
      <c r="L29" s="118">
        <f>COUNTIF('様式4'!$AQ$4:$AQ$303,"9小")</f>
        <v>0</v>
      </c>
      <c r="M29" s="118">
        <f>COUNTIF('様式4'!$AQ$4:$AQ$303,"10小")</f>
        <v>0</v>
      </c>
      <c r="N29" s="118">
        <f>COUNTIF('様式4'!$AQ$4:$AQ$303,"11小")</f>
        <v>0</v>
      </c>
      <c r="O29" s="118">
        <f>COUNTIF('様式4'!$AQ$4:$AQ$303,"12小")</f>
        <v>0</v>
      </c>
      <c r="P29" s="118">
        <f>COUNTIF('様式4'!$AQ$4:$AQ$303,"13小")</f>
        <v>0</v>
      </c>
      <c r="Q29" s="118">
        <f t="shared" si="14"/>
        <v>0</v>
      </c>
      <c r="R29" s="119"/>
      <c r="S29" s="126"/>
      <c r="W29" s="148"/>
      <c r="X29" s="148"/>
      <c r="Y29" s="148"/>
      <c r="Z29" s="148"/>
      <c r="AA29" s="148"/>
      <c r="AB29" s="148"/>
      <c r="AC29" s="148"/>
      <c r="AD29" s="148"/>
      <c r="AE29" s="148"/>
      <c r="AF29" s="148"/>
      <c r="AG29" s="148"/>
      <c r="AH29" s="148"/>
      <c r="AI29" s="148"/>
      <c r="AJ29" s="148"/>
      <c r="AK29" s="148"/>
      <c r="AL29" s="148"/>
      <c r="AM29" s="148"/>
      <c r="AN29" s="148"/>
    </row>
    <row r="30" spans="1:40" s="114" customFormat="1" ht="13.5" customHeight="1">
      <c r="A30" s="115"/>
      <c r="B30" s="474"/>
      <c r="C30" s="163" t="s">
        <v>499</v>
      </c>
      <c r="D30" s="164"/>
      <c r="E30" s="164"/>
      <c r="F30" s="164"/>
      <c r="G30" s="164"/>
      <c r="H30" s="164"/>
      <c r="I30" s="164"/>
      <c r="J30" s="164"/>
      <c r="K30" s="164"/>
      <c r="L30" s="164"/>
      <c r="M30" s="164"/>
      <c r="N30" s="164"/>
      <c r="O30" s="164"/>
      <c r="P30" s="164"/>
      <c r="Q30" s="118">
        <f t="shared" si="14"/>
        <v>0</v>
      </c>
      <c r="R30" s="119"/>
      <c r="S30" s="118">
        <f>COUNTIF('様式4'!$AQ$4:$AQ$303,"小")-SUM(D30:P30)</f>
        <v>0</v>
      </c>
      <c r="W30" s="148"/>
      <c r="X30" s="148"/>
      <c r="Y30" s="148"/>
      <c r="Z30" s="148"/>
      <c r="AA30" s="148"/>
      <c r="AB30" s="148"/>
      <c r="AC30" s="148"/>
      <c r="AD30" s="148"/>
      <c r="AE30" s="148"/>
      <c r="AF30" s="148"/>
      <c r="AG30" s="148"/>
      <c r="AH30" s="148"/>
      <c r="AI30" s="148"/>
      <c r="AJ30" s="148"/>
      <c r="AK30" s="148"/>
      <c r="AL30" s="148"/>
      <c r="AM30" s="148"/>
      <c r="AN30" s="148"/>
    </row>
    <row r="31" spans="1:40" s="114" customFormat="1" ht="13.5" customHeight="1">
      <c r="A31" s="115"/>
      <c r="B31" s="474"/>
      <c r="C31" s="163" t="s">
        <v>594</v>
      </c>
      <c r="D31" s="125">
        <f aca="true" t="shared" si="19" ref="D31:P31">SUM(D29:D30)</f>
        <v>0</v>
      </c>
      <c r="E31" s="125">
        <f t="shared" si="19"/>
        <v>0</v>
      </c>
      <c r="F31" s="125">
        <f t="shared" si="19"/>
        <v>0</v>
      </c>
      <c r="G31" s="125">
        <f t="shared" si="19"/>
        <v>0</v>
      </c>
      <c r="H31" s="125">
        <f t="shared" si="19"/>
        <v>0</v>
      </c>
      <c r="I31" s="125">
        <f t="shared" si="19"/>
        <v>0</v>
      </c>
      <c r="J31" s="125">
        <f t="shared" si="19"/>
        <v>0</v>
      </c>
      <c r="K31" s="125">
        <f t="shared" si="19"/>
        <v>0</v>
      </c>
      <c r="L31" s="125">
        <f t="shared" si="19"/>
        <v>0</v>
      </c>
      <c r="M31" s="125">
        <f t="shared" si="19"/>
        <v>0</v>
      </c>
      <c r="N31" s="125">
        <f t="shared" si="19"/>
        <v>0</v>
      </c>
      <c r="O31" s="125">
        <f t="shared" si="19"/>
        <v>0</v>
      </c>
      <c r="P31" s="125">
        <f t="shared" si="19"/>
        <v>0</v>
      </c>
      <c r="Q31" s="118">
        <f t="shared" si="14"/>
        <v>0</v>
      </c>
      <c r="R31" s="119"/>
      <c r="S31" s="126"/>
      <c r="V31" s="163" t="s">
        <v>366</v>
      </c>
      <c r="W31" s="151">
        <f>D31*$Y45*$AD$41</f>
        <v>0</v>
      </c>
      <c r="X31" s="151">
        <f>E31*$Y45*$AD$42</f>
        <v>0</v>
      </c>
      <c r="Y31" s="151">
        <f>F31*$Y45*$AD$43</f>
        <v>0</v>
      </c>
      <c r="Z31" s="151">
        <f>G31*$Y45*$AD$44</f>
        <v>0</v>
      </c>
      <c r="AA31" s="151">
        <f>H31*$Y45*$AD$45</f>
        <v>0</v>
      </c>
      <c r="AB31" s="151">
        <f>I31*$Y45*$AD$46</f>
        <v>0</v>
      </c>
      <c r="AC31" s="151">
        <f>J31*$Y45*$AD$47</f>
        <v>0</v>
      </c>
      <c r="AD31" s="151">
        <f>K31*$Y45*$AD$48</f>
        <v>0</v>
      </c>
      <c r="AE31" s="151">
        <f>L31*$Y45*$AD$49</f>
        <v>0</v>
      </c>
      <c r="AF31" s="151"/>
      <c r="AG31" s="151"/>
      <c r="AH31" s="151">
        <f>O31*$Y45*$AD$49</f>
        <v>0</v>
      </c>
      <c r="AI31" s="152"/>
      <c r="AJ31" s="151">
        <f>(Q31+S30)*$Y45</f>
        <v>0</v>
      </c>
      <c r="AK31" s="148"/>
      <c r="AL31" s="148"/>
      <c r="AM31" s="148"/>
      <c r="AN31" s="148"/>
    </row>
    <row r="32" spans="1:40" s="114" customFormat="1" ht="13.5" customHeight="1">
      <c r="A32" s="115"/>
      <c r="B32" s="474" t="s">
        <v>423</v>
      </c>
      <c r="C32" s="163" t="s">
        <v>431</v>
      </c>
      <c r="D32" s="118">
        <f>COUNTIF('様式4'!$AQ$4:$AQ$303,"1バ")</f>
        <v>0</v>
      </c>
      <c r="E32" s="118">
        <f>COUNTIF('様式4'!$AQ$4:$AQ$303,"2バ")</f>
        <v>0</v>
      </c>
      <c r="F32" s="118">
        <f>COUNTIF('様式4'!$AQ$4:$AQ$303,"3バ")</f>
        <v>0</v>
      </c>
      <c r="G32" s="118">
        <f>COUNTIF('様式4'!$AQ$4:$AQ$303,"4バ")</f>
        <v>0</v>
      </c>
      <c r="H32" s="118">
        <f>COUNTIF('様式4'!$AQ$4:$AQ$303,"5バ")</f>
        <v>0</v>
      </c>
      <c r="I32" s="118">
        <f>COUNTIF('様式4'!$AQ$4:$AQ$303,"6バ")</f>
        <v>0</v>
      </c>
      <c r="J32" s="118">
        <f>COUNTIF('様式4'!$AQ$4:$AQ$303,"7バ")</f>
        <v>0</v>
      </c>
      <c r="K32" s="118">
        <f>COUNTIF('様式4'!$AQ$4:$AQ$303,"8バ")</f>
        <v>0</v>
      </c>
      <c r="L32" s="118">
        <f>COUNTIF('様式4'!$AQ$4:$AQ$303,"9バ")</f>
        <v>0</v>
      </c>
      <c r="M32" s="118">
        <f>COUNTIF('様式4'!$AQ$4:$AQ$303,"10バ")</f>
        <v>0</v>
      </c>
      <c r="N32" s="118">
        <f>COUNTIF('様式4'!$AQ$4:$AQ$303,"11バ")</f>
        <v>0</v>
      </c>
      <c r="O32" s="118">
        <f>COUNTIF('様式4'!$AQ$4:$AQ$303,"12バ")</f>
        <v>0</v>
      </c>
      <c r="P32" s="118">
        <f>COUNTIF('様式4'!$AQ$4:$AQ$303,"13バ")</f>
        <v>0</v>
      </c>
      <c r="Q32" s="118">
        <f t="shared" si="14"/>
        <v>0</v>
      </c>
      <c r="R32" s="119"/>
      <c r="S32" s="126"/>
      <c r="W32" s="148"/>
      <c r="X32" s="148"/>
      <c r="Y32" s="148"/>
      <c r="Z32" s="148"/>
      <c r="AA32" s="148"/>
      <c r="AB32" s="148"/>
      <c r="AC32" s="148"/>
      <c r="AD32" s="148"/>
      <c r="AE32" s="148"/>
      <c r="AF32" s="148"/>
      <c r="AG32" s="148"/>
      <c r="AH32" s="148"/>
      <c r="AI32" s="148"/>
      <c r="AJ32" s="148"/>
      <c r="AK32" s="148"/>
      <c r="AL32" s="148"/>
      <c r="AM32" s="148"/>
      <c r="AN32" s="148"/>
    </row>
    <row r="33" spans="1:40" s="114" customFormat="1" ht="13.5" customHeight="1">
      <c r="A33" s="115"/>
      <c r="B33" s="474"/>
      <c r="C33" s="163" t="s">
        <v>499</v>
      </c>
      <c r="D33" s="164"/>
      <c r="E33" s="164"/>
      <c r="F33" s="164"/>
      <c r="G33" s="164"/>
      <c r="H33" s="164"/>
      <c r="I33" s="164"/>
      <c r="J33" s="164"/>
      <c r="K33" s="164"/>
      <c r="L33" s="164"/>
      <c r="M33" s="164"/>
      <c r="N33" s="164"/>
      <c r="O33" s="164"/>
      <c r="P33" s="164"/>
      <c r="Q33" s="118">
        <f t="shared" si="14"/>
        <v>0</v>
      </c>
      <c r="R33" s="119"/>
      <c r="S33" s="118">
        <f>COUNTIF('様式4'!$AQ$4:$AQ$303,"バ")-SUM(D33:P33)</f>
        <v>0</v>
      </c>
      <c r="W33" s="148"/>
      <c r="X33" s="148"/>
      <c r="Y33" s="148"/>
      <c r="Z33" s="148"/>
      <c r="AA33" s="148"/>
      <c r="AB33" s="148"/>
      <c r="AC33" s="148"/>
      <c r="AD33" s="148"/>
      <c r="AE33" s="148"/>
      <c r="AF33" s="148"/>
      <c r="AG33" s="148"/>
      <c r="AH33" s="148"/>
      <c r="AI33" s="148"/>
      <c r="AJ33" s="148"/>
      <c r="AK33" s="148"/>
      <c r="AL33" s="148"/>
      <c r="AM33" s="148"/>
      <c r="AN33" s="148"/>
    </row>
    <row r="34" spans="1:40" s="114" customFormat="1" ht="13.5" customHeight="1">
      <c r="A34" s="115"/>
      <c r="B34" s="474"/>
      <c r="C34" s="163" t="s">
        <v>594</v>
      </c>
      <c r="D34" s="125">
        <f aca="true" t="shared" si="20" ref="D34:P34">SUM(D32:D33)</f>
        <v>0</v>
      </c>
      <c r="E34" s="125">
        <f t="shared" si="20"/>
        <v>0</v>
      </c>
      <c r="F34" s="125">
        <f t="shared" si="20"/>
        <v>0</v>
      </c>
      <c r="G34" s="125">
        <f t="shared" si="20"/>
        <v>0</v>
      </c>
      <c r="H34" s="125">
        <f t="shared" si="20"/>
        <v>0</v>
      </c>
      <c r="I34" s="125">
        <f t="shared" si="20"/>
        <v>0</v>
      </c>
      <c r="J34" s="125">
        <f t="shared" si="20"/>
        <v>0</v>
      </c>
      <c r="K34" s="125">
        <f t="shared" si="20"/>
        <v>0</v>
      </c>
      <c r="L34" s="125">
        <f t="shared" si="20"/>
        <v>0</v>
      </c>
      <c r="M34" s="125">
        <f t="shared" si="20"/>
        <v>0</v>
      </c>
      <c r="N34" s="125">
        <f t="shared" si="20"/>
        <v>0</v>
      </c>
      <c r="O34" s="125">
        <f t="shared" si="20"/>
        <v>0</v>
      </c>
      <c r="P34" s="125">
        <f t="shared" si="20"/>
        <v>0</v>
      </c>
      <c r="Q34" s="118">
        <f t="shared" si="14"/>
        <v>0</v>
      </c>
      <c r="R34" s="119"/>
      <c r="S34" s="127"/>
      <c r="V34" s="165" t="s">
        <v>29</v>
      </c>
      <c r="W34" s="151">
        <f>D34*$Y46*$AD$41</f>
        <v>0</v>
      </c>
      <c r="X34" s="151">
        <f>E34*$Y46*$AD$42</f>
        <v>0</v>
      </c>
      <c r="Y34" s="151">
        <f>F34*$Y46*$AD$43</f>
        <v>0</v>
      </c>
      <c r="Z34" s="151">
        <f>G34*$Y46*$AD$44</f>
        <v>0</v>
      </c>
      <c r="AA34" s="151">
        <f>H34*$Y46*$AD$45</f>
        <v>0</v>
      </c>
      <c r="AB34" s="151">
        <f>I34*$Y46*$AD$46</f>
        <v>0</v>
      </c>
      <c r="AC34" s="151">
        <f>J34*$Y46*$AD$47</f>
        <v>0</v>
      </c>
      <c r="AD34" s="151">
        <f>K34*$Y46*$AD$48</f>
        <v>0</v>
      </c>
      <c r="AE34" s="151">
        <f>L34*$Y46*$AD$49</f>
        <v>0</v>
      </c>
      <c r="AF34" s="151"/>
      <c r="AG34" s="151"/>
      <c r="AH34" s="151">
        <f>O34*$Y46*$AD$49</f>
        <v>0</v>
      </c>
      <c r="AI34" s="152"/>
      <c r="AJ34" s="151">
        <f>(Q34+S33)*$Y46</f>
        <v>0</v>
      </c>
      <c r="AK34" s="114" t="s">
        <v>412</v>
      </c>
      <c r="AL34" s="148">
        <f>SUM(W34:AE34)+AH34</f>
        <v>0</v>
      </c>
      <c r="AM34" s="114" t="s">
        <v>413</v>
      </c>
      <c r="AN34" s="148">
        <f>AJ34</f>
        <v>0</v>
      </c>
    </row>
    <row r="35" spans="1:40" s="114" customFormat="1" ht="13.5" customHeight="1">
      <c r="A35" s="115"/>
      <c r="B35" s="166" t="s">
        <v>594</v>
      </c>
      <c r="C35" s="166"/>
      <c r="D35" s="118">
        <f aca="true" t="shared" si="21" ref="D35:P35">D19+D22+D25+D28+D31+D34</f>
        <v>0</v>
      </c>
      <c r="E35" s="118">
        <f t="shared" si="21"/>
        <v>0</v>
      </c>
      <c r="F35" s="118">
        <f t="shared" si="21"/>
        <v>0</v>
      </c>
      <c r="G35" s="118">
        <f t="shared" si="21"/>
        <v>0</v>
      </c>
      <c r="H35" s="118">
        <f t="shared" si="21"/>
        <v>0</v>
      </c>
      <c r="I35" s="118">
        <f t="shared" si="21"/>
        <v>0</v>
      </c>
      <c r="J35" s="118">
        <f t="shared" si="21"/>
        <v>0</v>
      </c>
      <c r="K35" s="118">
        <f t="shared" si="21"/>
        <v>0</v>
      </c>
      <c r="L35" s="118">
        <f t="shared" si="21"/>
        <v>0</v>
      </c>
      <c r="M35" s="118">
        <f t="shared" si="21"/>
        <v>0</v>
      </c>
      <c r="N35" s="118">
        <f t="shared" si="21"/>
        <v>0</v>
      </c>
      <c r="O35" s="118">
        <f t="shared" si="21"/>
        <v>0</v>
      </c>
      <c r="P35" s="118">
        <f t="shared" si="21"/>
        <v>0</v>
      </c>
      <c r="Q35" s="118">
        <f t="shared" si="14"/>
        <v>0</v>
      </c>
      <c r="R35" s="119"/>
      <c r="S35" s="127"/>
      <c r="U35" s="128"/>
      <c r="V35" s="119"/>
      <c r="W35" s="127"/>
      <c r="X35" s="127"/>
      <c r="Y35" s="127"/>
      <c r="Z35" s="127"/>
      <c r="AA35" s="127"/>
      <c r="AK35" s="148" t="s">
        <v>412</v>
      </c>
      <c r="AL35" s="148">
        <f>SUM(W19:AE34)+SUM(AH19:AH34)</f>
        <v>0</v>
      </c>
      <c r="AM35" s="148" t="s">
        <v>413</v>
      </c>
      <c r="AN35" s="148">
        <f>SUM(AJ19:AJ34)</f>
        <v>0</v>
      </c>
    </row>
    <row r="36" spans="1:34" s="114" customFormat="1" ht="3.75" customHeight="1" thickBot="1">
      <c r="A36" s="115"/>
      <c r="B36" s="129"/>
      <c r="C36" s="85"/>
      <c r="D36" s="85"/>
      <c r="E36" s="119"/>
      <c r="F36" s="130"/>
      <c r="G36" s="119"/>
      <c r="H36" s="119"/>
      <c r="I36" s="119"/>
      <c r="J36" s="119"/>
      <c r="K36" s="119"/>
      <c r="L36" s="119"/>
      <c r="M36" s="119"/>
      <c r="N36" s="119"/>
      <c r="O36" s="119"/>
      <c r="P36" s="119"/>
      <c r="Q36" s="119"/>
      <c r="R36" s="119"/>
      <c r="S36" s="127"/>
      <c r="U36" s="128"/>
      <c r="V36" s="128"/>
      <c r="W36" s="128"/>
      <c r="X36" s="128"/>
      <c r="Y36" s="128"/>
      <c r="Z36" s="128"/>
      <c r="AA36" s="128"/>
      <c r="AB36" s="128"/>
      <c r="AC36" s="128"/>
      <c r="AD36" s="128"/>
      <c r="AE36" s="128"/>
      <c r="AF36" s="128"/>
      <c r="AG36" s="128"/>
      <c r="AH36" s="128"/>
    </row>
    <row r="37" spans="1:34" s="114" customFormat="1" ht="14.25" thickBot="1">
      <c r="A37" s="122"/>
      <c r="B37" s="119"/>
      <c r="C37" s="86"/>
      <c r="D37" s="86"/>
      <c r="E37" s="86"/>
      <c r="F37" s="86"/>
      <c r="G37" s="119"/>
      <c r="M37" s="82"/>
      <c r="N37" s="83" t="s">
        <v>921</v>
      </c>
      <c r="O37" s="83"/>
      <c r="P37" s="87">
        <f>IF(Q35=0,"",AL35/AN35*100)</f>
      </c>
      <c r="Q37" s="88" t="s">
        <v>415</v>
      </c>
      <c r="R37" s="89"/>
      <c r="S37" s="127"/>
      <c r="U37" s="128"/>
      <c r="V37" s="128"/>
      <c r="W37" s="128"/>
      <c r="X37" s="128"/>
      <c r="Y37" s="128"/>
      <c r="Z37" s="128"/>
      <c r="AA37" s="128"/>
      <c r="AB37" s="128"/>
      <c r="AC37" s="128"/>
      <c r="AD37" s="128"/>
      <c r="AE37" s="128"/>
      <c r="AF37" s="128"/>
      <c r="AG37" s="128"/>
      <c r="AH37" s="128"/>
    </row>
    <row r="38" spans="1:34" s="114" customFormat="1" ht="3.75" customHeight="1" thickBot="1">
      <c r="A38" s="115"/>
      <c r="B38" s="119"/>
      <c r="C38" s="86"/>
      <c r="D38" s="127"/>
      <c r="E38" s="127"/>
      <c r="F38" s="127"/>
      <c r="G38" s="127"/>
      <c r="H38" s="131"/>
      <c r="I38" s="132"/>
      <c r="J38" s="127"/>
      <c r="U38" s="128"/>
      <c r="V38" s="128"/>
      <c r="W38" s="128"/>
      <c r="X38" s="128"/>
      <c r="Y38" s="128"/>
      <c r="Z38" s="128"/>
      <c r="AA38" s="128"/>
      <c r="AB38" s="128"/>
      <c r="AC38" s="128"/>
      <c r="AD38" s="128"/>
      <c r="AE38" s="128"/>
      <c r="AF38" s="128"/>
      <c r="AG38" s="128"/>
      <c r="AH38" s="128"/>
    </row>
    <row r="39" spans="1:38" s="136" customFormat="1" ht="13.5" customHeight="1" thickBot="1">
      <c r="A39" s="115"/>
      <c r="B39" s="133"/>
      <c r="C39" s="90"/>
      <c r="D39" s="90"/>
      <c r="E39" s="90"/>
      <c r="F39" s="90"/>
      <c r="G39" s="90"/>
      <c r="H39" s="90"/>
      <c r="I39" s="90"/>
      <c r="J39" s="90"/>
      <c r="K39" s="90"/>
      <c r="L39" s="134"/>
      <c r="M39" s="461" t="s">
        <v>922</v>
      </c>
      <c r="N39" s="462"/>
      <c r="O39" s="462"/>
      <c r="P39" s="463"/>
      <c r="Q39" s="464"/>
      <c r="R39" s="135"/>
      <c r="W39" s="167" t="s">
        <v>30</v>
      </c>
      <c r="X39" s="136" t="s">
        <v>414</v>
      </c>
      <c r="AA39" s="167" t="s">
        <v>425</v>
      </c>
      <c r="AB39" s="136" t="s">
        <v>418</v>
      </c>
      <c r="AF39" s="168"/>
      <c r="AK39" s="136" t="s">
        <v>283</v>
      </c>
      <c r="AL39" s="136" t="e">
        <f>IF(AN5=0,AL19/AN19*100,(AL19/AN19-AL5/AN5)*100)</f>
        <v>#DIV/0!</v>
      </c>
    </row>
    <row r="40" spans="1:38" s="112" customFormat="1" ht="13.5" customHeight="1" thickBot="1">
      <c r="A40" s="137"/>
      <c r="B40" s="138"/>
      <c r="C40" s="139"/>
      <c r="D40" s="139"/>
      <c r="E40" s="139"/>
      <c r="F40" s="139"/>
      <c r="G40" s="139"/>
      <c r="H40" s="139"/>
      <c r="I40" s="139"/>
      <c r="J40" s="139"/>
      <c r="K40" s="139"/>
      <c r="L40" s="139"/>
      <c r="M40" s="465">
        <f>P37</f>
      </c>
      <c r="N40" s="466"/>
      <c r="O40" s="467"/>
      <c r="P40" s="467"/>
      <c r="Q40" s="468"/>
      <c r="R40" s="139"/>
      <c r="S40" s="136"/>
      <c r="T40" s="136"/>
      <c r="U40" s="136"/>
      <c r="V40" s="136"/>
      <c r="W40" s="137"/>
      <c r="X40" s="169" t="s">
        <v>390</v>
      </c>
      <c r="Y40" s="170" t="s">
        <v>391</v>
      </c>
      <c r="Z40" s="171"/>
      <c r="AA40" s="171"/>
      <c r="AB40" s="172" t="s">
        <v>392</v>
      </c>
      <c r="AC40" s="173"/>
      <c r="AD40" s="174" t="s">
        <v>391</v>
      </c>
      <c r="AK40" s="112" t="s">
        <v>284</v>
      </c>
      <c r="AL40" s="112" t="e">
        <f>IF(AN6=0,AL22/AN22*100,(AL22/AN22-AL6/AN6)*100)</f>
        <v>#DIV/0!</v>
      </c>
    </row>
    <row r="41" spans="1:38" s="112" customFormat="1" ht="13.5" customHeight="1">
      <c r="A41" s="113"/>
      <c r="B41" s="175"/>
      <c r="C41" s="103"/>
      <c r="D41" s="103"/>
      <c r="E41" s="103"/>
      <c r="F41" s="103"/>
      <c r="G41" s="103"/>
      <c r="H41" s="103"/>
      <c r="I41" s="103"/>
      <c r="J41" s="103"/>
      <c r="K41" s="103"/>
      <c r="L41" s="103"/>
      <c r="M41" s="103"/>
      <c r="N41" s="103"/>
      <c r="O41" s="103"/>
      <c r="P41" s="103"/>
      <c r="Q41" s="103"/>
      <c r="R41" s="103"/>
      <c r="W41" s="113"/>
      <c r="X41" s="176" t="s">
        <v>630</v>
      </c>
      <c r="Y41" s="177">
        <v>0.2</v>
      </c>
      <c r="Z41" s="178" t="s">
        <v>31</v>
      </c>
      <c r="AB41" s="179" t="s">
        <v>420</v>
      </c>
      <c r="AC41" s="180"/>
      <c r="AD41" s="181">
        <v>1</v>
      </c>
      <c r="AK41" s="112" t="s">
        <v>657</v>
      </c>
      <c r="AL41" s="112" t="e">
        <f>IF(AN10=0,AL34/AN34*100,(AL34/AN34-AL10/AN10)*100)</f>
        <v>#DIV/0!</v>
      </c>
    </row>
    <row r="42" spans="1:31" s="112" customFormat="1" ht="13.5" customHeight="1">
      <c r="A42" s="113"/>
      <c r="B42" s="175"/>
      <c r="C42" s="103"/>
      <c r="D42" s="103"/>
      <c r="E42" s="103"/>
      <c r="F42" s="103"/>
      <c r="G42" s="103"/>
      <c r="H42" s="103"/>
      <c r="I42" s="103"/>
      <c r="J42" s="103"/>
      <c r="K42" s="103"/>
      <c r="L42" s="103"/>
      <c r="M42" s="103"/>
      <c r="N42" s="103"/>
      <c r="O42" s="103"/>
      <c r="P42" s="103"/>
      <c r="Q42" s="103"/>
      <c r="R42" s="103"/>
      <c r="W42" s="113"/>
      <c r="X42" s="182" t="s">
        <v>393</v>
      </c>
      <c r="Y42" s="177">
        <v>1</v>
      </c>
      <c r="Z42" s="183" t="s">
        <v>32</v>
      </c>
      <c r="AA42" s="184"/>
      <c r="AB42" s="185" t="s">
        <v>33</v>
      </c>
      <c r="AC42" s="186"/>
      <c r="AD42" s="187">
        <v>1</v>
      </c>
      <c r="AE42" s="113" t="s">
        <v>32</v>
      </c>
    </row>
    <row r="43" spans="1:32" ht="13.5">
      <c r="A43" s="140"/>
      <c r="W43" s="113"/>
      <c r="X43" s="188" t="s">
        <v>394</v>
      </c>
      <c r="Y43" s="177">
        <v>1.5</v>
      </c>
      <c r="Z43" s="189" t="s">
        <v>34</v>
      </c>
      <c r="AA43" s="171"/>
      <c r="AB43" s="185" t="s">
        <v>427</v>
      </c>
      <c r="AC43" s="186"/>
      <c r="AD43" s="187">
        <v>1</v>
      </c>
      <c r="AE43" s="113"/>
      <c r="AF43" s="112"/>
    </row>
    <row r="44" spans="1:31" ht="13.5">
      <c r="A44" s="140"/>
      <c r="W44" s="113"/>
      <c r="X44" s="188" t="s">
        <v>395</v>
      </c>
      <c r="Y44" s="177">
        <v>2</v>
      </c>
      <c r="Z44" s="189" t="s">
        <v>35</v>
      </c>
      <c r="AA44" s="171"/>
      <c r="AB44" s="185" t="s">
        <v>419</v>
      </c>
      <c r="AC44" s="186"/>
      <c r="AD44" s="187">
        <v>1</v>
      </c>
      <c r="AE44" s="113"/>
    </row>
    <row r="45" spans="1:31" ht="13.5">
      <c r="A45" s="140"/>
      <c r="W45" s="113"/>
      <c r="X45" s="176" t="s">
        <v>396</v>
      </c>
      <c r="Y45" s="177">
        <v>0.5</v>
      </c>
      <c r="Z45" s="189" t="s">
        <v>36</v>
      </c>
      <c r="AA45" s="171"/>
      <c r="AB45" s="190" t="s">
        <v>37</v>
      </c>
      <c r="AC45" s="191"/>
      <c r="AD45" s="192">
        <v>1</v>
      </c>
      <c r="AE45" s="113"/>
    </row>
    <row r="46" spans="1:31" ht="13.5">
      <c r="A46" s="140"/>
      <c r="W46" s="113"/>
      <c r="X46" s="176" t="s">
        <v>423</v>
      </c>
      <c r="Y46" s="177">
        <v>2</v>
      </c>
      <c r="Z46" s="178" t="s">
        <v>38</v>
      </c>
      <c r="AA46" s="112"/>
      <c r="AB46" s="176" t="s">
        <v>397</v>
      </c>
      <c r="AC46" s="173"/>
      <c r="AD46" s="177">
        <v>1</v>
      </c>
      <c r="AE46" s="113" t="s">
        <v>39</v>
      </c>
    </row>
    <row r="47" spans="1:31" ht="13.5">
      <c r="A47" s="140"/>
      <c r="W47" s="113"/>
      <c r="X47" s="193"/>
      <c r="Y47" s="194"/>
      <c r="Z47" s="195"/>
      <c r="AA47" s="195"/>
      <c r="AB47" s="176" t="s">
        <v>398</v>
      </c>
      <c r="AC47" s="173"/>
      <c r="AD47" s="177">
        <v>0.5</v>
      </c>
      <c r="AE47" s="113" t="s">
        <v>40</v>
      </c>
    </row>
    <row r="48" spans="1:31" ht="13.5">
      <c r="A48" s="140"/>
      <c r="W48" s="113"/>
      <c r="X48" s="196"/>
      <c r="Y48" s="171"/>
      <c r="Z48" s="195"/>
      <c r="AA48" s="195"/>
      <c r="AB48" s="176" t="s">
        <v>400</v>
      </c>
      <c r="AC48" s="173"/>
      <c r="AD48" s="177">
        <f>1/3</f>
        <v>0.3333333333333333</v>
      </c>
      <c r="AE48" s="113" t="s">
        <v>41</v>
      </c>
    </row>
    <row r="49" spans="1:31" ht="13.5">
      <c r="A49" s="140"/>
      <c r="W49" s="197"/>
      <c r="X49" s="197"/>
      <c r="Y49" s="197"/>
      <c r="Z49" s="197"/>
      <c r="AA49" s="197"/>
      <c r="AB49" s="176" t="s">
        <v>401</v>
      </c>
      <c r="AC49" s="173"/>
      <c r="AD49" s="177">
        <v>0.2</v>
      </c>
      <c r="AE49" s="113" t="s">
        <v>42</v>
      </c>
    </row>
    <row r="50" ht="12">
      <c r="A50" s="140"/>
    </row>
    <row r="51" ht="12">
      <c r="A51" s="140"/>
    </row>
  </sheetData>
  <sheetProtection/>
  <mergeCells count="23">
    <mergeCell ref="BE3:BE4"/>
    <mergeCell ref="AP3:AQ4"/>
    <mergeCell ref="AR3:AV3"/>
    <mergeCell ref="AW3:BB3"/>
    <mergeCell ref="BC3:BD3"/>
    <mergeCell ref="Q3:Q4"/>
    <mergeCell ref="B15:C16"/>
    <mergeCell ref="D15:H15"/>
    <mergeCell ref="I15:N15"/>
    <mergeCell ref="O15:P15"/>
    <mergeCell ref="Q15:Q16"/>
    <mergeCell ref="B3:C4"/>
    <mergeCell ref="D3:H3"/>
    <mergeCell ref="I3:N3"/>
    <mergeCell ref="O3:P3"/>
    <mergeCell ref="B17:B19"/>
    <mergeCell ref="B20:B22"/>
    <mergeCell ref="B23:B25"/>
    <mergeCell ref="B26:B28"/>
    <mergeCell ref="B29:B31"/>
    <mergeCell ref="B32:B34"/>
    <mergeCell ref="M39:Q39"/>
    <mergeCell ref="M40:Q40"/>
  </mergeCells>
  <dataValidations count="2">
    <dataValidation type="whole" operator="greaterThanOrEqual" allowBlank="1" showInputMessage="1" showErrorMessage="1" imeMode="halfAlpha" sqref="D33:P33">
      <formula1>0</formula1>
    </dataValidation>
    <dataValidation type="whole" operator="greaterThanOrEqual" allowBlank="1" showInputMessage="1" showErrorMessage="1" imeMode="halfAlpha" sqref="D18:P18 D21:P21 D24:P24 D27:P27 D30:P30">
      <formula1>0</formula1>
    </dataValidation>
  </dataValidations>
  <printOptions/>
  <pageMargins left="0.7874015748031497" right="0.7874015748031497" top="0.7874015748031497" bottom="0.7874015748031497" header="0.5118110236220472" footer="0.5118110236220472"/>
  <pageSetup horizontalDpi="600" verticalDpi="600" orientation="landscape" paperSize="9" scale="94" r:id="rId1"/>
  <headerFooter alignWithMargins="0">
    <oddHeader>&amp;R計算シート</oddHeader>
  </headerFooter>
  <colBreaks count="1" manualBreakCount="1">
    <brk id="19" max="65535" man="1"/>
  </colBreaks>
</worksheet>
</file>

<file path=xl/worksheets/sheet7.xml><?xml version="1.0" encoding="utf-8"?>
<worksheet xmlns="http://schemas.openxmlformats.org/spreadsheetml/2006/main" xmlns:r="http://schemas.openxmlformats.org/officeDocument/2006/relationships">
  <dimension ref="A1:U121"/>
  <sheetViews>
    <sheetView workbookViewId="0" topLeftCell="A1">
      <pane xSplit="2" ySplit="6" topLeftCell="C7" activePane="bottomRight" state="frozen"/>
      <selection pane="topLeft" activeCell="A65" sqref="A1:D65"/>
      <selection pane="topRight" activeCell="A65" sqref="A1:D65"/>
      <selection pane="bottomLeft" activeCell="A65" sqref="A1:D65"/>
      <selection pane="bottomRight" activeCell="F9" sqref="F9"/>
    </sheetView>
  </sheetViews>
  <sheetFormatPr defaultColWidth="9.00390625" defaultRowHeight="13.5"/>
  <cols>
    <col min="1" max="1" width="5.625" style="1" customWidth="1"/>
    <col min="2" max="2" width="2.25390625" style="1" customWidth="1"/>
    <col min="3" max="3" width="15.25390625" style="1" customWidth="1"/>
    <col min="4" max="20" width="5.00390625" style="1" customWidth="1"/>
    <col min="21" max="33" width="4.125" style="1" customWidth="1"/>
    <col min="34" max="34" width="0.74609375" style="1" customWidth="1"/>
    <col min="35" max="16384" width="9.00390625" style="1" customWidth="1"/>
  </cols>
  <sheetData>
    <row r="1" ht="18" customHeight="1">
      <c r="S1" s="48" t="s">
        <v>6</v>
      </c>
    </row>
    <row r="2" ht="18.75" customHeight="1" thickBot="1">
      <c r="A2" s="47" t="s">
        <v>438</v>
      </c>
    </row>
    <row r="3" spans="1:20" ht="11.25" customHeight="1">
      <c r="A3" s="494"/>
      <c r="B3" s="495"/>
      <c r="C3" s="496"/>
      <c r="D3" s="503" t="s">
        <v>449</v>
      </c>
      <c r="E3" s="486" t="s">
        <v>43</v>
      </c>
      <c r="F3" s="487"/>
      <c r="G3" s="488"/>
      <c r="H3" s="486" t="s">
        <v>44</v>
      </c>
      <c r="I3" s="487"/>
      <c r="J3" s="488"/>
      <c r="K3" s="486" t="s">
        <v>45</v>
      </c>
      <c r="L3" s="487"/>
      <c r="M3" s="488"/>
      <c r="N3" s="486" t="s">
        <v>46</v>
      </c>
      <c r="O3" s="487"/>
      <c r="P3" s="488"/>
      <c r="Q3" s="503" t="s">
        <v>432</v>
      </c>
      <c r="R3" s="486" t="s">
        <v>453</v>
      </c>
      <c r="S3" s="488"/>
      <c r="T3" s="478" t="s">
        <v>447</v>
      </c>
    </row>
    <row r="4" spans="1:20" ht="11.25" customHeight="1">
      <c r="A4" s="497"/>
      <c r="B4" s="498"/>
      <c r="C4" s="499"/>
      <c r="D4" s="504"/>
      <c r="E4" s="489"/>
      <c r="F4" s="490"/>
      <c r="G4" s="491"/>
      <c r="H4" s="489"/>
      <c r="I4" s="490"/>
      <c r="J4" s="491"/>
      <c r="K4" s="489"/>
      <c r="L4" s="490"/>
      <c r="M4" s="491"/>
      <c r="N4" s="489"/>
      <c r="O4" s="490"/>
      <c r="P4" s="491"/>
      <c r="Q4" s="504"/>
      <c r="R4" s="489"/>
      <c r="S4" s="491"/>
      <c r="T4" s="479"/>
    </row>
    <row r="5" spans="1:20" ht="15" customHeight="1">
      <c r="A5" s="497"/>
      <c r="B5" s="498"/>
      <c r="C5" s="499"/>
      <c r="D5" s="504"/>
      <c r="E5" s="481" t="s">
        <v>454</v>
      </c>
      <c r="F5" s="481"/>
      <c r="G5" s="482" t="s">
        <v>451</v>
      </c>
      <c r="H5" s="484" t="s">
        <v>454</v>
      </c>
      <c r="I5" s="484"/>
      <c r="J5" s="482" t="s">
        <v>451</v>
      </c>
      <c r="K5" s="485" t="s">
        <v>454</v>
      </c>
      <c r="L5" s="485"/>
      <c r="M5" s="482" t="s">
        <v>451</v>
      </c>
      <c r="N5" s="485" t="s">
        <v>454</v>
      </c>
      <c r="O5" s="485"/>
      <c r="P5" s="482" t="s">
        <v>451</v>
      </c>
      <c r="Q5" s="504"/>
      <c r="R5" s="482" t="s">
        <v>450</v>
      </c>
      <c r="S5" s="492" t="s">
        <v>451</v>
      </c>
      <c r="T5" s="479"/>
    </row>
    <row r="6" spans="1:20" ht="27" customHeight="1" thickBot="1">
      <c r="A6" s="500"/>
      <c r="B6" s="501"/>
      <c r="C6" s="502"/>
      <c r="D6" s="505"/>
      <c r="E6" s="58" t="s">
        <v>452</v>
      </c>
      <c r="F6" s="59" t="s">
        <v>625</v>
      </c>
      <c r="G6" s="516"/>
      <c r="H6" s="35" t="s">
        <v>452</v>
      </c>
      <c r="I6" s="54" t="s">
        <v>625</v>
      </c>
      <c r="J6" s="516"/>
      <c r="K6" s="35" t="s">
        <v>452</v>
      </c>
      <c r="L6" s="54" t="s">
        <v>625</v>
      </c>
      <c r="M6" s="516"/>
      <c r="N6" s="35" t="s">
        <v>452</v>
      </c>
      <c r="O6" s="54" t="s">
        <v>625</v>
      </c>
      <c r="P6" s="516"/>
      <c r="Q6" s="505"/>
      <c r="R6" s="516"/>
      <c r="S6" s="517"/>
      <c r="T6" s="480"/>
    </row>
    <row r="7" spans="1:20" ht="27" customHeight="1" thickTop="1">
      <c r="A7" s="518" t="s">
        <v>437</v>
      </c>
      <c r="B7" s="520" t="s">
        <v>435</v>
      </c>
      <c r="C7" s="198" t="s">
        <v>420</v>
      </c>
      <c r="D7" s="199">
        <f aca="true" t="shared" si="0" ref="D7:E19">D30+D45+D60+D75+D90+D105</f>
        <v>0</v>
      </c>
      <c r="E7" s="199">
        <f t="shared" si="0"/>
        <v>0</v>
      </c>
      <c r="F7" s="199" t="str">
        <f>IF(E7&gt;0,ROUND(SUMIF('様式4'!$AO$4:$AO$303,"=1*2002",'様式4'!$AP$4:$AP$303)/E7,0)," ")</f>
        <v> </v>
      </c>
      <c r="G7" s="199">
        <f aca="true" t="shared" si="1" ref="G7:H19">G30+G45+G60+G75+G90+G105</f>
        <v>0</v>
      </c>
      <c r="H7" s="199">
        <f t="shared" si="1"/>
        <v>0</v>
      </c>
      <c r="I7" s="199" t="str">
        <f>IF(H7&gt;0,ROUND(SUMIF('様式4'!$AO$4:$AO$303,"=1*2003",'様式4'!$AP$4:$AP$303)/H7,0)," ")</f>
        <v> </v>
      </c>
      <c r="J7" s="199">
        <f aca="true" t="shared" si="2" ref="J7:K19">J30+J45+J60+J75+J90+J105</f>
        <v>0</v>
      </c>
      <c r="K7" s="199">
        <f t="shared" si="2"/>
        <v>0</v>
      </c>
      <c r="L7" s="199" t="str">
        <f>IF(K7&gt;0,ROUND(SUMIF('様式4'!$AO$4:$AO$303,"=1*2004",'様式4'!$AP$4:$AP$303)/K7,0)," ")</f>
        <v> </v>
      </c>
      <c r="M7" s="199">
        <f aca="true" t="shared" si="3" ref="M7:N19">M30+M45+M60+M75+M90+M105</f>
        <v>0</v>
      </c>
      <c r="N7" s="199">
        <f t="shared" si="3"/>
        <v>0</v>
      </c>
      <c r="O7" s="199" t="str">
        <f>IF(N7&gt;0,ROUND(SUMIF('様式4'!$AO$4:$AO$303,"=1*2005",'様式4'!$AP$4:$AP$303)/N7,0)," ")</f>
        <v> </v>
      </c>
      <c r="P7" s="199">
        <f aca="true" t="shared" si="4" ref="P7:T19">P30+P45+P60+P75+P90+P105</f>
        <v>0</v>
      </c>
      <c r="Q7" s="199">
        <f>Q30+Q45+Q60+Q75+Q90+Q105</f>
        <v>0</v>
      </c>
      <c r="R7" s="199">
        <f t="shared" si="4"/>
        <v>0</v>
      </c>
      <c r="S7" s="199">
        <f t="shared" si="4"/>
        <v>0</v>
      </c>
      <c r="T7" s="200">
        <f t="shared" si="4"/>
        <v>0</v>
      </c>
    </row>
    <row r="8" spans="1:20" ht="27" customHeight="1">
      <c r="A8" s="510"/>
      <c r="B8" s="521"/>
      <c r="C8" s="201" t="s">
        <v>319</v>
      </c>
      <c r="D8" s="202">
        <f t="shared" si="0"/>
        <v>0</v>
      </c>
      <c r="E8" s="202">
        <f t="shared" si="0"/>
        <v>0</v>
      </c>
      <c r="F8" s="202" t="str">
        <f>IF(E8&gt;0,ROUND(SUMIF('様式4'!$AO$4:$AO$303,"=2*2002",'様式4'!$AP$4:$AP$303)/E8,0)," ")</f>
        <v> </v>
      </c>
      <c r="G8" s="202">
        <f t="shared" si="1"/>
        <v>0</v>
      </c>
      <c r="H8" s="202">
        <f t="shared" si="1"/>
        <v>0</v>
      </c>
      <c r="I8" s="202" t="str">
        <f>IF(H8&gt;0,ROUND(SUMIF('様式4'!$AO$4:$AO$303,"=2*2003",'様式4'!$AP$4:$AP$303)/H8,0)," ")</f>
        <v> </v>
      </c>
      <c r="J8" s="202">
        <f t="shared" si="2"/>
        <v>0</v>
      </c>
      <c r="K8" s="202">
        <f t="shared" si="2"/>
        <v>0</v>
      </c>
      <c r="L8" s="202" t="str">
        <f>IF(K8&gt;0,ROUND(SUMIF('様式4'!$AO$4:$AO$303,"=2*2004",'様式4'!$AP$4:$AP$303)/K8,0)," ")</f>
        <v> </v>
      </c>
      <c r="M8" s="202">
        <f t="shared" si="3"/>
        <v>0</v>
      </c>
      <c r="N8" s="202">
        <f t="shared" si="3"/>
        <v>0</v>
      </c>
      <c r="O8" s="202" t="str">
        <f>IF(N8&gt;0,ROUND(SUMIF('様式4'!$AO$4:$AO$303,"=2*2005",'様式4'!$AP$4:$AP$303)/N8,0)," ")</f>
        <v> </v>
      </c>
      <c r="P8" s="202">
        <f t="shared" si="4"/>
        <v>0</v>
      </c>
      <c r="Q8" s="202">
        <f t="shared" si="4"/>
        <v>0</v>
      </c>
      <c r="R8" s="202">
        <f t="shared" si="4"/>
        <v>0</v>
      </c>
      <c r="S8" s="202">
        <f t="shared" si="4"/>
        <v>0</v>
      </c>
      <c r="T8" s="203">
        <f t="shared" si="4"/>
        <v>0</v>
      </c>
    </row>
    <row r="9" spans="1:20" ht="27" customHeight="1">
      <c r="A9" s="510"/>
      <c r="B9" s="521"/>
      <c r="C9" s="201" t="s">
        <v>27</v>
      </c>
      <c r="D9" s="202">
        <f t="shared" si="0"/>
        <v>0</v>
      </c>
      <c r="E9" s="202">
        <f t="shared" si="0"/>
        <v>0</v>
      </c>
      <c r="F9" s="202" t="str">
        <f>IF(E9&gt;0,ROUND(SUMIF('様式4'!$AO$4:$AO$303,"=3*2002",'様式4'!$AP$4:$AP$303)/E9,0)," ")</f>
        <v> </v>
      </c>
      <c r="G9" s="202">
        <f t="shared" si="1"/>
        <v>0</v>
      </c>
      <c r="H9" s="202">
        <f t="shared" si="1"/>
        <v>0</v>
      </c>
      <c r="I9" s="202" t="str">
        <f>IF(H9&gt;0,ROUND(SUMIF('様式4'!$AO$4:$AO$303,"=3*2003",'様式4'!$AP$4:$AP$303)/H9,0)," ")</f>
        <v> </v>
      </c>
      <c r="J9" s="202">
        <f t="shared" si="2"/>
        <v>0</v>
      </c>
      <c r="K9" s="202">
        <f t="shared" si="2"/>
        <v>0</v>
      </c>
      <c r="L9" s="202" t="str">
        <f>IF(K9&gt;0,ROUND(SUMIF('様式4'!$AO$4:$AO$303,"=3*2004",'様式4'!$AP$4:$AP$303)/K9,0)," ")</f>
        <v> </v>
      </c>
      <c r="M9" s="202">
        <f t="shared" si="3"/>
        <v>0</v>
      </c>
      <c r="N9" s="202">
        <f t="shared" si="3"/>
        <v>0</v>
      </c>
      <c r="O9" s="202" t="str">
        <f>IF(N9&gt;0,ROUND(SUMIF('様式4'!$AO$4:$AO$303,"=3*2005",'様式4'!$AP$4:$AP$303)/N9,0)," ")</f>
        <v> </v>
      </c>
      <c r="P9" s="202">
        <f t="shared" si="4"/>
        <v>0</v>
      </c>
      <c r="Q9" s="202">
        <f t="shared" si="4"/>
        <v>0</v>
      </c>
      <c r="R9" s="202">
        <f t="shared" si="4"/>
        <v>0</v>
      </c>
      <c r="S9" s="202">
        <f t="shared" si="4"/>
        <v>0</v>
      </c>
      <c r="T9" s="203">
        <f t="shared" si="4"/>
        <v>0</v>
      </c>
    </row>
    <row r="10" spans="1:20" ht="27" customHeight="1">
      <c r="A10" s="510"/>
      <c r="B10" s="521"/>
      <c r="C10" s="201" t="s">
        <v>419</v>
      </c>
      <c r="D10" s="202">
        <f t="shared" si="0"/>
        <v>0</v>
      </c>
      <c r="E10" s="202">
        <f t="shared" si="0"/>
        <v>0</v>
      </c>
      <c r="F10" s="202" t="str">
        <f>IF(E10&gt;0,ROUND(SUMIF('様式4'!$AO$4:$AO$303,"=4*2002",'様式4'!$AP$4:$AP$303)/E10,0)," ")</f>
        <v> </v>
      </c>
      <c r="G10" s="202">
        <f t="shared" si="1"/>
        <v>0</v>
      </c>
      <c r="H10" s="202">
        <f t="shared" si="1"/>
        <v>0</v>
      </c>
      <c r="I10" s="202" t="str">
        <f>IF(H10&gt;0,ROUND(SUMIF('様式4'!$AO$4:$AO$303,"=4*2003",'様式4'!$AP$4:$AP$303)/H10,0)," ")</f>
        <v> </v>
      </c>
      <c r="J10" s="202">
        <f t="shared" si="2"/>
        <v>0</v>
      </c>
      <c r="K10" s="202">
        <f t="shared" si="2"/>
        <v>0</v>
      </c>
      <c r="L10" s="202" t="str">
        <f>IF(K10&gt;0,ROUND(SUMIF('様式4'!$AO$4:$AO$303,"=4*2004",'様式4'!$AP$4:$AP$303)/K10,0)," ")</f>
        <v> </v>
      </c>
      <c r="M10" s="202">
        <f t="shared" si="3"/>
        <v>0</v>
      </c>
      <c r="N10" s="202">
        <f t="shared" si="3"/>
        <v>0</v>
      </c>
      <c r="O10" s="202" t="str">
        <f>IF(N10&gt;0,ROUND(SUMIF('様式4'!$AO$4:$AO$303,"=4*2005",'様式4'!$AP$4:$AP$303)/N10,0)," ")</f>
        <v> </v>
      </c>
      <c r="P10" s="202">
        <f t="shared" si="4"/>
        <v>0</v>
      </c>
      <c r="Q10" s="202">
        <f t="shared" si="4"/>
        <v>0</v>
      </c>
      <c r="R10" s="202">
        <f t="shared" si="4"/>
        <v>0</v>
      </c>
      <c r="S10" s="202">
        <f t="shared" si="4"/>
        <v>0</v>
      </c>
      <c r="T10" s="203">
        <f t="shared" si="4"/>
        <v>0</v>
      </c>
    </row>
    <row r="11" spans="1:20" ht="27" customHeight="1">
      <c r="A11" s="510"/>
      <c r="B11" s="522"/>
      <c r="C11" s="201" t="s">
        <v>429</v>
      </c>
      <c r="D11" s="202">
        <f t="shared" si="0"/>
        <v>0</v>
      </c>
      <c r="E11" s="202">
        <f t="shared" si="0"/>
        <v>0</v>
      </c>
      <c r="F11" s="202" t="str">
        <f>IF(E11&gt;0,ROUND(SUMIF('様式4'!$AO$4:$AO$303,"=5*2002",'様式4'!$AP$4:$AP$303)/E11,0)," ")</f>
        <v> </v>
      </c>
      <c r="G11" s="202">
        <f t="shared" si="1"/>
        <v>0</v>
      </c>
      <c r="H11" s="202">
        <f t="shared" si="1"/>
        <v>0</v>
      </c>
      <c r="I11" s="202" t="str">
        <f>IF(H11&gt;0,ROUND(SUMIF('様式4'!$AO$4:$AO$303,"=5*2003",'様式4'!$AP$4:$AP$303)/H11,0)," ")</f>
        <v> </v>
      </c>
      <c r="J11" s="202">
        <f t="shared" si="2"/>
        <v>0</v>
      </c>
      <c r="K11" s="202">
        <f t="shared" si="2"/>
        <v>0</v>
      </c>
      <c r="L11" s="202" t="str">
        <f>IF(K11&gt;0,ROUND(SUMIF('様式4'!$AO$4:$AO$303,"=5*2004",'様式4'!$AP$4:$AP$303)/K11,0)," ")</f>
        <v> </v>
      </c>
      <c r="M11" s="202">
        <f t="shared" si="3"/>
        <v>0</v>
      </c>
      <c r="N11" s="202">
        <f t="shared" si="3"/>
        <v>0</v>
      </c>
      <c r="O11" s="202" t="str">
        <f>IF(N11&gt;0,ROUND(SUMIF('様式4'!$AO$4:$AO$303,"=5*2005",'様式4'!$AP$4:$AP$303)/N11,0)," ")</f>
        <v> </v>
      </c>
      <c r="P11" s="202">
        <f t="shared" si="4"/>
        <v>0</v>
      </c>
      <c r="Q11" s="202">
        <f t="shared" si="4"/>
        <v>0</v>
      </c>
      <c r="R11" s="202">
        <f t="shared" si="4"/>
        <v>0</v>
      </c>
      <c r="S11" s="202">
        <f t="shared" si="4"/>
        <v>0</v>
      </c>
      <c r="T11" s="203">
        <f t="shared" si="4"/>
        <v>0</v>
      </c>
    </row>
    <row r="12" spans="1:20" ht="27" customHeight="1">
      <c r="A12" s="510"/>
      <c r="B12" s="515" t="s">
        <v>47</v>
      </c>
      <c r="C12" s="258" t="s">
        <v>7</v>
      </c>
      <c r="D12" s="202">
        <f t="shared" si="0"/>
        <v>0</v>
      </c>
      <c r="E12" s="202">
        <f t="shared" si="0"/>
        <v>0</v>
      </c>
      <c r="F12" s="202" t="str">
        <f>IF(E12&gt;0,ROUND(SUMIF('様式4'!$AO$4:$AO$303,"=6*2002",'様式4'!$AP$4:$AP$303)/E12,0)," ")</f>
        <v> </v>
      </c>
      <c r="G12" s="202">
        <f t="shared" si="1"/>
        <v>0</v>
      </c>
      <c r="H12" s="202">
        <f t="shared" si="1"/>
        <v>0</v>
      </c>
      <c r="I12" s="202" t="str">
        <f>IF(H12&gt;0,ROUND(SUMIF('様式4'!$AO$4:$AO$303,"=6*2003",'様式4'!$AP$4:$AP$303)/H12,0)," ")</f>
        <v> </v>
      </c>
      <c r="J12" s="202">
        <f t="shared" si="2"/>
        <v>0</v>
      </c>
      <c r="K12" s="202">
        <f t="shared" si="2"/>
        <v>0</v>
      </c>
      <c r="L12" s="202" t="str">
        <f>IF(K12&gt;0,ROUND(SUMIF('様式4'!$AO$4:$AO$303,"=6*2004",'様式4'!$AP$4:$AP$303)/K12,0)," ")</f>
        <v> </v>
      </c>
      <c r="M12" s="202">
        <f t="shared" si="3"/>
        <v>0</v>
      </c>
      <c r="N12" s="202">
        <f t="shared" si="3"/>
        <v>0</v>
      </c>
      <c r="O12" s="202" t="str">
        <f>IF(N12&gt;0,ROUND(SUMIF('様式4'!$AO$4:$AO$303,"=6*2005",'様式4'!$AP$4:$AP$303)/N12,0)," ")</f>
        <v> </v>
      </c>
      <c r="P12" s="202">
        <f t="shared" si="4"/>
        <v>0</v>
      </c>
      <c r="Q12" s="202">
        <f t="shared" si="4"/>
        <v>0</v>
      </c>
      <c r="R12" s="202">
        <f t="shared" si="4"/>
        <v>0</v>
      </c>
      <c r="S12" s="202">
        <f t="shared" si="4"/>
        <v>0</v>
      </c>
      <c r="T12" s="203">
        <f t="shared" si="4"/>
        <v>0</v>
      </c>
    </row>
    <row r="13" spans="1:20" ht="27" customHeight="1">
      <c r="A13" s="510"/>
      <c r="B13" s="521"/>
      <c r="C13" s="258" t="s">
        <v>8</v>
      </c>
      <c r="D13" s="202">
        <f t="shared" si="0"/>
        <v>0</v>
      </c>
      <c r="E13" s="202">
        <f t="shared" si="0"/>
        <v>0</v>
      </c>
      <c r="F13" s="202" t="str">
        <f>IF(E13&gt;0,ROUND(SUMIF('様式4'!$AO$4:$AO$303,"=7*2002",'様式4'!$AP$4:$AP$303)/E13,0)," ")</f>
        <v> </v>
      </c>
      <c r="G13" s="202">
        <f t="shared" si="1"/>
        <v>0</v>
      </c>
      <c r="H13" s="202">
        <f t="shared" si="1"/>
        <v>0</v>
      </c>
      <c r="I13" s="202" t="str">
        <f>IF(H13&gt;0,ROUND(SUMIF('様式4'!$AO$4:$AO$303,"=7*2003",'様式4'!$AP$4:$AP$303)/H13,0)," ")</f>
        <v> </v>
      </c>
      <c r="J13" s="202">
        <f t="shared" si="2"/>
        <v>0</v>
      </c>
      <c r="K13" s="202">
        <f t="shared" si="2"/>
        <v>0</v>
      </c>
      <c r="L13" s="202" t="str">
        <f>IF(K13&gt;0,ROUND(SUMIF('様式4'!$AO$4:$AO$303,"=7*2004",'様式4'!$AP$4:$AP$303)/K13,0)," ")</f>
        <v> </v>
      </c>
      <c r="M13" s="202">
        <f t="shared" si="3"/>
        <v>0</v>
      </c>
      <c r="N13" s="202">
        <f t="shared" si="3"/>
        <v>0</v>
      </c>
      <c r="O13" s="202" t="str">
        <f>IF(N13&gt;0,ROUND(SUMIF('様式4'!$AO$4:$AO$303,"=7*2005",'様式4'!$AP$4:$AP$303)/N13,0)," ")</f>
        <v> </v>
      </c>
      <c r="P13" s="202">
        <f t="shared" si="4"/>
        <v>0</v>
      </c>
      <c r="Q13" s="202">
        <f t="shared" si="4"/>
        <v>0</v>
      </c>
      <c r="R13" s="202">
        <f t="shared" si="4"/>
        <v>0</v>
      </c>
      <c r="S13" s="202">
        <f t="shared" si="4"/>
        <v>0</v>
      </c>
      <c r="T13" s="203">
        <f t="shared" si="4"/>
        <v>0</v>
      </c>
    </row>
    <row r="14" spans="1:20" ht="27" customHeight="1">
      <c r="A14" s="510"/>
      <c r="B14" s="521"/>
      <c r="C14" s="258" t="s">
        <v>9</v>
      </c>
      <c r="D14" s="202">
        <f t="shared" si="0"/>
        <v>0</v>
      </c>
      <c r="E14" s="202">
        <f t="shared" si="0"/>
        <v>0</v>
      </c>
      <c r="F14" s="202" t="str">
        <f>IF(E14&gt;0,ROUND(SUMIF('様式4'!$AO$4:$AO$303,"=8*2002",'様式4'!$AP$4:$AP$303)/E14,0)," ")</f>
        <v> </v>
      </c>
      <c r="G14" s="202">
        <f t="shared" si="1"/>
        <v>0</v>
      </c>
      <c r="H14" s="202">
        <f t="shared" si="1"/>
        <v>0</v>
      </c>
      <c r="I14" s="202" t="str">
        <f>IF(H14&gt;0,ROUND(SUMIF('様式4'!$AO$4:$AO$303,"=8*2003",'様式4'!$AP$4:$AP$303)/H14,0)," ")</f>
        <v> </v>
      </c>
      <c r="J14" s="202">
        <f t="shared" si="2"/>
        <v>0</v>
      </c>
      <c r="K14" s="202">
        <f t="shared" si="2"/>
        <v>0</v>
      </c>
      <c r="L14" s="202" t="str">
        <f>IF(K14&gt;0,ROUND(SUMIF('様式4'!$AO$4:$AO$303,"=8*2004",'様式4'!$AP$4:$AP$303)/K14,0)," ")</f>
        <v> </v>
      </c>
      <c r="M14" s="202">
        <f t="shared" si="3"/>
        <v>0</v>
      </c>
      <c r="N14" s="202">
        <f t="shared" si="3"/>
        <v>0</v>
      </c>
      <c r="O14" s="202" t="str">
        <f>IF(N14&gt;0,ROUND(SUMIF('様式4'!$AO$4:$AO$303,"=8*2005",'様式4'!$AP$4:$AP$303)/N14,0)," ")</f>
        <v> </v>
      </c>
      <c r="P14" s="202">
        <f t="shared" si="4"/>
        <v>0</v>
      </c>
      <c r="Q14" s="202">
        <f t="shared" si="4"/>
        <v>0</v>
      </c>
      <c r="R14" s="202">
        <f t="shared" si="4"/>
        <v>0</v>
      </c>
      <c r="S14" s="202">
        <f t="shared" si="4"/>
        <v>0</v>
      </c>
      <c r="T14" s="203">
        <f t="shared" si="4"/>
        <v>0</v>
      </c>
    </row>
    <row r="15" spans="1:20" ht="27" customHeight="1">
      <c r="A15" s="510"/>
      <c r="B15" s="521"/>
      <c r="C15" s="258" t="s">
        <v>10</v>
      </c>
      <c r="D15" s="202">
        <f t="shared" si="0"/>
        <v>0</v>
      </c>
      <c r="E15" s="202">
        <f t="shared" si="0"/>
        <v>0</v>
      </c>
      <c r="F15" s="202" t="str">
        <f>IF(E15&gt;0,ROUND(SUMIF('様式4'!$AO$4:$AO$303,"=9*2002",'様式4'!$AP$4:$AP$303)/E15,0)," ")</f>
        <v> </v>
      </c>
      <c r="G15" s="202">
        <f t="shared" si="1"/>
        <v>0</v>
      </c>
      <c r="H15" s="202">
        <f t="shared" si="1"/>
        <v>0</v>
      </c>
      <c r="I15" s="202" t="str">
        <f>IF(H15&gt;0,ROUND(SUMIF('様式4'!$AO$4:$AO$303,"=9*2003",'様式4'!$AP$4:$AP$303)/H15,0)," ")</f>
        <v> </v>
      </c>
      <c r="J15" s="202">
        <f t="shared" si="2"/>
        <v>0</v>
      </c>
      <c r="K15" s="202">
        <f t="shared" si="2"/>
        <v>0</v>
      </c>
      <c r="L15" s="202" t="str">
        <f>IF(K15&gt;0,ROUND(SUMIF('様式4'!$AO$4:$AO$303,"=9*2004",'様式4'!$AP$4:$AP$303)/K15,0)," ")</f>
        <v> </v>
      </c>
      <c r="M15" s="202">
        <f t="shared" si="3"/>
        <v>0</v>
      </c>
      <c r="N15" s="202">
        <f t="shared" si="3"/>
        <v>0</v>
      </c>
      <c r="O15" s="202" t="str">
        <f>IF(N15&gt;0,ROUND(SUMIF('様式4'!$AO$4:$AO$303,"=9*2005",'様式4'!$AP$4:$AP$303)/N15,0)," ")</f>
        <v> </v>
      </c>
      <c r="P15" s="202">
        <f t="shared" si="4"/>
        <v>0</v>
      </c>
      <c r="Q15" s="202">
        <f t="shared" si="4"/>
        <v>0</v>
      </c>
      <c r="R15" s="202">
        <f t="shared" si="4"/>
        <v>0</v>
      </c>
      <c r="S15" s="202">
        <f t="shared" si="4"/>
        <v>0</v>
      </c>
      <c r="T15" s="203">
        <f t="shared" si="4"/>
        <v>0</v>
      </c>
    </row>
    <row r="16" spans="1:20" ht="27" customHeight="1">
      <c r="A16" s="510"/>
      <c r="B16" s="521"/>
      <c r="C16" s="258" t="s">
        <v>416</v>
      </c>
      <c r="D16" s="202">
        <f t="shared" si="0"/>
        <v>0</v>
      </c>
      <c r="E16" s="202">
        <f t="shared" si="0"/>
        <v>0</v>
      </c>
      <c r="F16" s="202" t="str">
        <f>IF(E16&gt;0,ROUND(SUMIF('様式4'!$AO$4:$AO$303,"=10*2002",'様式4'!$AP$4:$AP$303)/E16,0)," ")</f>
        <v> </v>
      </c>
      <c r="G16" s="202">
        <f t="shared" si="1"/>
        <v>0</v>
      </c>
      <c r="H16" s="202">
        <f t="shared" si="1"/>
        <v>0</v>
      </c>
      <c r="I16" s="202" t="str">
        <f>IF(H16&gt;0,ROUND(SUMIF('様式4'!$AO$4:$AO$303,"=10*2003",'様式4'!$AP$4:$AP$303)/H16,0)," ")</f>
        <v> </v>
      </c>
      <c r="J16" s="202">
        <f t="shared" si="2"/>
        <v>0</v>
      </c>
      <c r="K16" s="202">
        <f t="shared" si="2"/>
        <v>0</v>
      </c>
      <c r="L16" s="202" t="str">
        <f>IF(K16&gt;0,ROUND(SUMIF('様式4'!$AO$4:$AO$303,"=10*2004",'様式4'!$AP$4:$AP$303)/K16,0)," ")</f>
        <v> </v>
      </c>
      <c r="M16" s="202">
        <f t="shared" si="3"/>
        <v>0</v>
      </c>
      <c r="N16" s="202">
        <f t="shared" si="3"/>
        <v>0</v>
      </c>
      <c r="O16" s="202" t="str">
        <f>IF(N16&gt;0,ROUND(SUMIF('様式4'!$AO$4:$AO$303,"=10*2005",'様式4'!$AP$4:$AP$303)/N16,0)," ")</f>
        <v> </v>
      </c>
      <c r="P16" s="202">
        <f t="shared" si="4"/>
        <v>0</v>
      </c>
      <c r="Q16" s="202">
        <f t="shared" si="4"/>
        <v>0</v>
      </c>
      <c r="R16" s="202">
        <f t="shared" si="4"/>
        <v>0</v>
      </c>
      <c r="S16" s="202">
        <f t="shared" si="4"/>
        <v>0</v>
      </c>
      <c r="T16" s="203">
        <f t="shared" si="4"/>
        <v>0</v>
      </c>
    </row>
    <row r="17" spans="1:20" ht="27" customHeight="1">
      <c r="A17" s="510"/>
      <c r="B17" s="522"/>
      <c r="C17" s="258" t="s">
        <v>11</v>
      </c>
      <c r="D17" s="202">
        <f t="shared" si="0"/>
        <v>0</v>
      </c>
      <c r="E17" s="202">
        <f t="shared" si="0"/>
        <v>0</v>
      </c>
      <c r="F17" s="202" t="str">
        <f>IF(E17&gt;0,ROUND(SUMIF('様式4'!$AO$4:$AO$303,"=11*2002",'様式4'!$AP$4:$AP$303)/E17,0)," ")</f>
        <v> </v>
      </c>
      <c r="G17" s="202">
        <f t="shared" si="1"/>
        <v>0</v>
      </c>
      <c r="H17" s="202">
        <f t="shared" si="1"/>
        <v>0</v>
      </c>
      <c r="I17" s="202" t="str">
        <f>IF(H17&gt;0,ROUND(SUMIF('様式4'!$AO$4:$AO$303,"=11*2003",'様式4'!$AP$4:$AP$303)/H17,0)," ")</f>
        <v> </v>
      </c>
      <c r="J17" s="202">
        <f t="shared" si="2"/>
        <v>0</v>
      </c>
      <c r="K17" s="202">
        <f t="shared" si="2"/>
        <v>0</v>
      </c>
      <c r="L17" s="202" t="str">
        <f>IF(K17&gt;0,ROUND(SUMIF('様式4'!$AO$4:$AO$303,"=11*2004",'様式4'!$AP$4:$AP$303)/K17,0)," ")</f>
        <v> </v>
      </c>
      <c r="M17" s="202">
        <f t="shared" si="3"/>
        <v>0</v>
      </c>
      <c r="N17" s="202">
        <f t="shared" si="3"/>
        <v>0</v>
      </c>
      <c r="O17" s="202" t="str">
        <f>IF(N17&gt;0,ROUND(SUMIF('様式4'!$AO$4:$AO$303,"=11*2005",'様式4'!$AP$4:$AP$303)/N17,0)," ")</f>
        <v> </v>
      </c>
      <c r="P17" s="202">
        <f t="shared" si="4"/>
        <v>0</v>
      </c>
      <c r="Q17" s="202">
        <f t="shared" si="4"/>
        <v>0</v>
      </c>
      <c r="R17" s="202">
        <f t="shared" si="4"/>
        <v>0</v>
      </c>
      <c r="S17" s="202">
        <f t="shared" si="4"/>
        <v>0</v>
      </c>
      <c r="T17" s="203">
        <f t="shared" si="4"/>
        <v>0</v>
      </c>
    </row>
    <row r="18" spans="1:20" ht="27" customHeight="1">
      <c r="A18" s="510"/>
      <c r="B18" s="515" t="s">
        <v>334</v>
      </c>
      <c r="C18" s="201" t="s">
        <v>323</v>
      </c>
      <c r="D18" s="202">
        <f t="shared" si="0"/>
        <v>0</v>
      </c>
      <c r="E18" s="202">
        <f t="shared" si="0"/>
        <v>0</v>
      </c>
      <c r="F18" s="202" t="str">
        <f>IF(E18&gt;0,ROUND(SUMIF('様式4'!$AO$4:$AO$303,"=12*2002",'様式4'!$AP$4:$AP$303)/E18,0)," ")</f>
        <v> </v>
      </c>
      <c r="G18" s="202">
        <f t="shared" si="1"/>
        <v>0</v>
      </c>
      <c r="H18" s="202">
        <f t="shared" si="1"/>
        <v>0</v>
      </c>
      <c r="I18" s="202" t="str">
        <f>IF(H18&gt;0,ROUND(SUMIF('様式4'!$AO$4:$AO$303,"=12*2003",'様式4'!$AP$4:$AP$303)/H18,0)," ")</f>
        <v> </v>
      </c>
      <c r="J18" s="202">
        <f t="shared" si="2"/>
        <v>0</v>
      </c>
      <c r="K18" s="202">
        <f t="shared" si="2"/>
        <v>0</v>
      </c>
      <c r="L18" s="202" t="str">
        <f>IF(K18&gt;0,ROUND(SUMIF('様式4'!$AO$4:$AO$303,"=12*2004",'様式4'!$AP$4:$AP$303)/K18,0)," ")</f>
        <v> </v>
      </c>
      <c r="M18" s="202">
        <f t="shared" si="3"/>
        <v>0</v>
      </c>
      <c r="N18" s="202">
        <f t="shared" si="3"/>
        <v>0</v>
      </c>
      <c r="O18" s="202" t="str">
        <f>IF(N18&gt;0,ROUND(SUMIF('様式4'!$AO$4:$AO$303,"=12*2005",'様式4'!$AP$4:$AP$303)/N18,0)," ")</f>
        <v> </v>
      </c>
      <c r="P18" s="202">
        <f t="shared" si="4"/>
        <v>0</v>
      </c>
      <c r="Q18" s="202">
        <f t="shared" si="4"/>
        <v>0</v>
      </c>
      <c r="R18" s="202">
        <f t="shared" si="4"/>
        <v>0</v>
      </c>
      <c r="S18" s="202">
        <f t="shared" si="4"/>
        <v>0</v>
      </c>
      <c r="T18" s="203">
        <f t="shared" si="4"/>
        <v>0</v>
      </c>
    </row>
    <row r="19" spans="1:20" ht="27" customHeight="1">
      <c r="A19" s="510"/>
      <c r="B19" s="522"/>
      <c r="C19" s="201" t="s">
        <v>408</v>
      </c>
      <c r="D19" s="202">
        <f t="shared" si="0"/>
        <v>0</v>
      </c>
      <c r="E19" s="202">
        <f t="shared" si="0"/>
        <v>0</v>
      </c>
      <c r="F19" s="202" t="str">
        <f>IF(E19&gt;0,ROUND(SUMIF('様式4'!$AO$4:$AO$303,"=13*2002",'様式4'!$AP$4:$AP$303)/E19,0)," ")</f>
        <v> </v>
      </c>
      <c r="G19" s="202">
        <f t="shared" si="1"/>
        <v>0</v>
      </c>
      <c r="H19" s="202">
        <f t="shared" si="1"/>
        <v>0</v>
      </c>
      <c r="I19" s="202" t="str">
        <f>IF(H19&gt;0,ROUND(SUMIF('様式4'!$AO$4:$AO$303,"=13*2003",'様式4'!$AP$4:$AP$303)/H19,0)," ")</f>
        <v> </v>
      </c>
      <c r="J19" s="202">
        <f t="shared" si="2"/>
        <v>0</v>
      </c>
      <c r="K19" s="202">
        <f t="shared" si="2"/>
        <v>0</v>
      </c>
      <c r="L19" s="202" t="str">
        <f>IF(K19&gt;0,ROUND(SUMIF('様式4'!$AO$4:$AO$303,"=13*2004",'様式4'!$AP$4:$AP$303)/K19,0)," ")</f>
        <v> </v>
      </c>
      <c r="M19" s="202">
        <f t="shared" si="3"/>
        <v>0</v>
      </c>
      <c r="N19" s="202">
        <f t="shared" si="3"/>
        <v>0</v>
      </c>
      <c r="O19" s="202" t="str">
        <f>IF(N19&gt;0,ROUND(SUMIF('様式4'!$AO$4:$AO$303,"=13*2005",'様式4'!$AP$4:$AP$303)/N19,0)," ")</f>
        <v> </v>
      </c>
      <c r="P19" s="202">
        <f t="shared" si="4"/>
        <v>0</v>
      </c>
      <c r="Q19" s="202">
        <f t="shared" si="4"/>
        <v>0</v>
      </c>
      <c r="R19" s="202">
        <f t="shared" si="4"/>
        <v>0</v>
      </c>
      <c r="S19" s="202">
        <f t="shared" si="4"/>
        <v>0</v>
      </c>
      <c r="T19" s="203">
        <f t="shared" si="4"/>
        <v>0</v>
      </c>
    </row>
    <row r="20" spans="1:20" ht="27" customHeight="1">
      <c r="A20" s="510"/>
      <c r="B20" s="104"/>
      <c r="C20" s="68" t="s">
        <v>432</v>
      </c>
      <c r="D20" s="204"/>
      <c r="E20" s="204"/>
      <c r="F20" s="204"/>
      <c r="G20" s="205">
        <f>G43+G58+G73+G88+G103+G118</f>
        <v>0</v>
      </c>
      <c r="H20" s="204"/>
      <c r="I20" s="204"/>
      <c r="J20" s="205">
        <f>J43+J58+J73+J88+J103+J118</f>
        <v>0</v>
      </c>
      <c r="K20" s="204"/>
      <c r="L20" s="204"/>
      <c r="M20" s="205">
        <f>M43+M58+M73+M88+M103+M118</f>
        <v>0</v>
      </c>
      <c r="N20" s="204"/>
      <c r="O20" s="204"/>
      <c r="P20" s="205">
        <f>P43+P58+P73+P88+P103+P118</f>
        <v>0</v>
      </c>
      <c r="Q20" s="205">
        <f>Q43+Q58+Q73+Q88+Q103+Q118</f>
        <v>0</v>
      </c>
      <c r="R20" s="204"/>
      <c r="S20" s="202">
        <f>S43+S58+S73+S88+S103+S118</f>
        <v>0</v>
      </c>
      <c r="T20" s="203">
        <f>T43+T58+T73+T88+T103+T118</f>
        <v>0</v>
      </c>
    </row>
    <row r="21" spans="1:20" ht="27" customHeight="1">
      <c r="A21" s="519"/>
      <c r="B21" s="104"/>
      <c r="C21" s="68" t="s">
        <v>594</v>
      </c>
      <c r="D21" s="205">
        <f>D44+D59+D74+D89+D104+D119</f>
        <v>0</v>
      </c>
      <c r="E21" s="205">
        <f>E44+E59+E74+E89+E104+E119</f>
        <v>0</v>
      </c>
      <c r="F21" s="204"/>
      <c r="G21" s="205">
        <f>G44+G59+G74+G89+G104+G119</f>
        <v>0</v>
      </c>
      <c r="H21" s="205">
        <f>H44+H59+H74+H89+H104+H119</f>
        <v>0</v>
      </c>
      <c r="I21" s="204"/>
      <c r="J21" s="205">
        <f>J44+J59+J74+J89+J104+J119</f>
        <v>0</v>
      </c>
      <c r="K21" s="205">
        <f>K44+K59+K74+K89+K104+K119</f>
        <v>0</v>
      </c>
      <c r="L21" s="204"/>
      <c r="M21" s="205">
        <f>M44+M59+M74+M89+M104+M119</f>
        <v>0</v>
      </c>
      <c r="N21" s="205">
        <f>N44+N59+N74+N89+N104+N119</f>
        <v>0</v>
      </c>
      <c r="O21" s="204"/>
      <c r="P21" s="205">
        <f>P44+P59+P74+P89+P104+P119</f>
        <v>0</v>
      </c>
      <c r="Q21" s="205">
        <f>Q44+Q59+Q74+Q89+Q104+Q119</f>
        <v>0</v>
      </c>
      <c r="R21" s="205">
        <f>R44+R59+R74+R89+R104+R119</f>
        <v>0</v>
      </c>
      <c r="S21" s="202">
        <f>S44+S59+S74+S89+S104+S119</f>
        <v>0</v>
      </c>
      <c r="T21" s="203">
        <f>T44+T59+T74+T89+T104+T119</f>
        <v>0</v>
      </c>
    </row>
    <row r="22" spans="1:20" ht="27" customHeight="1">
      <c r="A22" s="63" t="s">
        <v>388</v>
      </c>
      <c r="B22" s="50"/>
      <c r="C22" s="49"/>
      <c r="D22" s="53">
        <f>SUM(D7:D11)</f>
        <v>0</v>
      </c>
      <c r="E22" s="53">
        <f>SUM(E7:E11)</f>
        <v>0</v>
      </c>
      <c r="F22" s="52"/>
      <c r="G22" s="53">
        <f>SUM(G7:G11)</f>
        <v>0</v>
      </c>
      <c r="H22" s="53">
        <f>SUM(H7:H11)</f>
        <v>0</v>
      </c>
      <c r="I22" s="52"/>
      <c r="J22" s="53">
        <f>SUM(J7:J11)</f>
        <v>0</v>
      </c>
      <c r="K22" s="53">
        <f>SUM(K7:K11)</f>
        <v>0</v>
      </c>
      <c r="L22" s="52"/>
      <c r="M22" s="53">
        <f>SUM(M7:M11)</f>
        <v>0</v>
      </c>
      <c r="N22" s="53">
        <f>SUM(N7:N11)</f>
        <v>0</v>
      </c>
      <c r="O22" s="52"/>
      <c r="P22" s="53">
        <f>SUM(P7:P11)</f>
        <v>0</v>
      </c>
      <c r="Q22" s="53">
        <f>SUM(Q7:Q11)</f>
        <v>0</v>
      </c>
      <c r="R22" s="53">
        <f>SUM(R7:R11)</f>
        <v>0</v>
      </c>
      <c r="S22" s="53">
        <f>SUM(S7:S11)</f>
        <v>0</v>
      </c>
      <c r="T22" s="64">
        <f>SUM(T7:T11)</f>
        <v>0</v>
      </c>
    </row>
    <row r="23" spans="1:20" ht="27" customHeight="1" thickBot="1">
      <c r="A23" s="65" t="s">
        <v>389</v>
      </c>
      <c r="B23" s="66"/>
      <c r="C23" s="61"/>
      <c r="D23" s="391"/>
      <c r="E23" s="67"/>
      <c r="F23" s="67"/>
      <c r="G23" s="391"/>
      <c r="H23" s="67"/>
      <c r="I23" s="67"/>
      <c r="J23" s="391"/>
      <c r="K23" s="67"/>
      <c r="L23" s="67"/>
      <c r="M23" s="391"/>
      <c r="N23" s="67"/>
      <c r="O23" s="67"/>
      <c r="P23" s="391"/>
      <c r="Q23" s="391"/>
      <c r="R23" s="391"/>
      <c r="S23" s="391"/>
      <c r="T23" s="392"/>
    </row>
    <row r="24" ht="12" hidden="1"/>
    <row r="25" spans="2:21" ht="21" customHeight="1" hidden="1" thickBot="1">
      <c r="B25" s="47"/>
      <c r="C25" s="206"/>
      <c r="D25" s="206"/>
      <c r="E25" s="206"/>
      <c r="F25" s="206"/>
      <c r="G25" s="206"/>
      <c r="H25" s="206"/>
      <c r="I25" s="206"/>
      <c r="J25" s="206"/>
      <c r="K25" s="2"/>
      <c r="L25" s="2"/>
      <c r="M25" s="2"/>
      <c r="N25" s="2"/>
      <c r="O25" s="2"/>
      <c r="P25" s="2"/>
      <c r="Q25" s="2"/>
      <c r="R25" s="2"/>
      <c r="S25" s="2"/>
      <c r="T25" s="2"/>
      <c r="U25" s="2"/>
    </row>
    <row r="26" spans="1:20" ht="7.5" customHeight="1" hidden="1">
      <c r="A26" s="494"/>
      <c r="B26" s="495"/>
      <c r="C26" s="496"/>
      <c r="D26" s="503" t="s">
        <v>449</v>
      </c>
      <c r="E26" s="486" t="s">
        <v>48</v>
      </c>
      <c r="F26" s="487"/>
      <c r="G26" s="488"/>
      <c r="H26" s="486" t="s">
        <v>49</v>
      </c>
      <c r="I26" s="487"/>
      <c r="J26" s="488"/>
      <c r="K26" s="486" t="s">
        <v>50</v>
      </c>
      <c r="L26" s="487"/>
      <c r="M26" s="488"/>
      <c r="N26" s="486" t="s">
        <v>51</v>
      </c>
      <c r="O26" s="487"/>
      <c r="P26" s="488"/>
      <c r="Q26" s="503" t="s">
        <v>432</v>
      </c>
      <c r="R26" s="486" t="s">
        <v>453</v>
      </c>
      <c r="S26" s="488"/>
      <c r="T26" s="478" t="s">
        <v>447</v>
      </c>
    </row>
    <row r="27" spans="1:20" ht="7.5" customHeight="1" hidden="1">
      <c r="A27" s="497"/>
      <c r="B27" s="498"/>
      <c r="C27" s="499"/>
      <c r="D27" s="504"/>
      <c r="E27" s="489"/>
      <c r="F27" s="490"/>
      <c r="G27" s="491"/>
      <c r="H27" s="489"/>
      <c r="I27" s="490"/>
      <c r="J27" s="491"/>
      <c r="K27" s="489"/>
      <c r="L27" s="490"/>
      <c r="M27" s="491"/>
      <c r="N27" s="489"/>
      <c r="O27" s="490"/>
      <c r="P27" s="491"/>
      <c r="Q27" s="504"/>
      <c r="R27" s="489"/>
      <c r="S27" s="491"/>
      <c r="T27" s="479"/>
    </row>
    <row r="28" spans="1:20" ht="12" customHeight="1" hidden="1">
      <c r="A28" s="497"/>
      <c r="B28" s="498"/>
      <c r="C28" s="499"/>
      <c r="D28" s="504"/>
      <c r="E28" s="481" t="s">
        <v>454</v>
      </c>
      <c r="F28" s="481"/>
      <c r="G28" s="482" t="s">
        <v>451</v>
      </c>
      <c r="H28" s="484" t="s">
        <v>454</v>
      </c>
      <c r="I28" s="484"/>
      <c r="J28" s="482" t="s">
        <v>451</v>
      </c>
      <c r="K28" s="485" t="s">
        <v>454</v>
      </c>
      <c r="L28" s="485"/>
      <c r="M28" s="482" t="s">
        <v>451</v>
      </c>
      <c r="N28" s="485" t="s">
        <v>454</v>
      </c>
      <c r="O28" s="485"/>
      <c r="P28" s="482" t="s">
        <v>451</v>
      </c>
      <c r="Q28" s="504"/>
      <c r="R28" s="482" t="s">
        <v>450</v>
      </c>
      <c r="S28" s="492" t="s">
        <v>451</v>
      </c>
      <c r="T28" s="479"/>
    </row>
    <row r="29" spans="1:20" ht="21.75" hidden="1" thickBot="1">
      <c r="A29" s="500"/>
      <c r="B29" s="501"/>
      <c r="C29" s="502"/>
      <c r="D29" s="505"/>
      <c r="E29" s="58" t="s">
        <v>452</v>
      </c>
      <c r="F29" s="59" t="s">
        <v>625</v>
      </c>
      <c r="G29" s="483"/>
      <c r="H29" s="35" t="s">
        <v>452</v>
      </c>
      <c r="I29" s="54" t="s">
        <v>625</v>
      </c>
      <c r="J29" s="483"/>
      <c r="K29" s="35" t="s">
        <v>452</v>
      </c>
      <c r="L29" s="54" t="s">
        <v>625</v>
      </c>
      <c r="M29" s="483"/>
      <c r="N29" s="35" t="s">
        <v>452</v>
      </c>
      <c r="O29" s="54" t="s">
        <v>625</v>
      </c>
      <c r="P29" s="483"/>
      <c r="Q29" s="505"/>
      <c r="R29" s="483"/>
      <c r="S29" s="493"/>
      <c r="T29" s="480"/>
    </row>
    <row r="30" spans="1:20" s="211" customFormat="1" ht="24.75" customHeight="1" hidden="1">
      <c r="A30" s="506" t="s">
        <v>283</v>
      </c>
      <c r="B30" s="512" t="s">
        <v>435</v>
      </c>
      <c r="C30" s="207" t="s">
        <v>420</v>
      </c>
      <c r="D30" s="208">
        <f>COUNTIF('様式4'!$AI$4:$AI$303,"1乗")</f>
        <v>0</v>
      </c>
      <c r="E30" s="208">
        <f>COUNTIF('様式4'!$AO$4:$AO$303,"1乗2002")</f>
        <v>0</v>
      </c>
      <c r="F30" s="208" t="str">
        <f>IF(E30&gt;0,ROUND(SUMIF('様式4'!$AO$4:$AO$303,"=1乗2002",'様式4'!$AP$4:$AP$303)/E30,0)," ")</f>
        <v> </v>
      </c>
      <c r="G30" s="208">
        <f>COUNTIF('様式4'!$AR$4:$AR$303,"1乗2002")</f>
        <v>0</v>
      </c>
      <c r="H30" s="208">
        <f>COUNTIF('様式4'!$AO$4:$AO$303,"1乗2003")</f>
        <v>0</v>
      </c>
      <c r="I30" s="208" t="str">
        <f>IF(H30&gt;0,ROUND(SUMIF('様式4'!$AO$4:$AO$303,"=1乗2003",'様式4'!$AP$4:$AP$303)/H30,0)," ")</f>
        <v> </v>
      </c>
      <c r="J30" s="208">
        <f>COUNTIF('様式4'!$AR$4:$AR$303,"1乗2003")</f>
        <v>0</v>
      </c>
      <c r="K30" s="208">
        <f>COUNTIF('様式4'!$AO$4:$AO$303,"1乗2004")</f>
        <v>0</v>
      </c>
      <c r="L30" s="208" t="str">
        <f>IF(K30&gt;0,ROUND(SUMIF('様式4'!$AO$4:$AO$303,"=1乗2004",'様式4'!$AP$4:$AP$303)/K30,0)," ")</f>
        <v> </v>
      </c>
      <c r="M30" s="208">
        <f>COUNTIF('様式4'!$AR$4:$AR$303,"1乗2004")</f>
        <v>0</v>
      </c>
      <c r="N30" s="208">
        <f>COUNTIF('様式4'!$AO$4:$AO$303,"1乗2005")</f>
        <v>0</v>
      </c>
      <c r="O30" s="208" t="str">
        <f>IF(N30&gt;0,ROUND(SUMIF('様式4'!$AO$4:$AO$303,"=1乗2005",'様式4'!$AP$4:$AP$303)/N30,0)," ")</f>
        <v> </v>
      </c>
      <c r="P30" s="208">
        <f>COUNTIF('様式4'!$AR$4:$AR$303,"1乗2005")</f>
        <v>0</v>
      </c>
      <c r="Q30" s="209">
        <f>COUNTIF('様式4'!$AR$4:$AR$303,"1乗")-COUNTIF('様式4'!$AO$4:$AO$303,"1乗")+'計算シート'!D18</f>
        <v>0</v>
      </c>
      <c r="R30" s="209">
        <f>E30+H30+K30+N30</f>
        <v>0</v>
      </c>
      <c r="S30" s="209">
        <f>G30+J30+M30+P30</f>
        <v>0</v>
      </c>
      <c r="T30" s="210">
        <f>D30+Q30-R30+S30</f>
        <v>0</v>
      </c>
    </row>
    <row r="31" spans="1:20" s="211" customFormat="1" ht="24.75" customHeight="1" hidden="1">
      <c r="A31" s="507"/>
      <c r="B31" s="513"/>
      <c r="C31" s="201" t="s">
        <v>320</v>
      </c>
      <c r="D31" s="202">
        <f>COUNTIF('様式4'!$AI$4:$AI$303,"2乗")</f>
        <v>0</v>
      </c>
      <c r="E31" s="202">
        <f>COUNTIF('様式4'!$AO$4:$AO$303,"2乗2002")</f>
        <v>0</v>
      </c>
      <c r="F31" s="202" t="str">
        <f>IF(E31&gt;0,ROUND(SUMIF('様式4'!$AO$4:$AO$303,"=2乗2002",'様式4'!$AP$4:$AP$303)/E31,0)," ")</f>
        <v> </v>
      </c>
      <c r="G31" s="202">
        <f>COUNTIF('様式4'!$AR$4:$AR$303,"2乗2002")</f>
        <v>0</v>
      </c>
      <c r="H31" s="202">
        <f>COUNTIF('様式4'!$AO$4:$AO$303,"2乗2003")</f>
        <v>0</v>
      </c>
      <c r="I31" s="202" t="str">
        <f>IF(H31&gt;0,ROUND(SUMIF('様式4'!$AO$4:$AO$303,"=2乗2003",'様式4'!$AP$4:$AP$303)/H31,0)," ")</f>
        <v> </v>
      </c>
      <c r="J31" s="202">
        <f>COUNTIF('様式4'!$AR$4:$AR$303,"2乗2003")</f>
        <v>0</v>
      </c>
      <c r="K31" s="202">
        <f>COUNTIF('様式4'!$AO$4:$AO$303,"2乗2004")</f>
        <v>0</v>
      </c>
      <c r="L31" s="202" t="str">
        <f>IF(K31&gt;0,ROUND(SUMIF('様式4'!$AO$4:$AO$303,"=2乗2004",'様式4'!$AP$4:$AP$303)/K31,0)," ")</f>
        <v> </v>
      </c>
      <c r="M31" s="202">
        <f>COUNTIF('様式4'!$AR$4:$AR$303,"2乗2004")</f>
        <v>0</v>
      </c>
      <c r="N31" s="202">
        <f>COUNTIF('様式4'!$AO$4:$AO$303,"2乗2005")</f>
        <v>0</v>
      </c>
      <c r="O31" s="202" t="str">
        <f>IF(N31&gt;0,ROUND(SUMIF('様式4'!$AO$4:$AO$303,"=2乗2005",'様式4'!$AP$4:$AP$303)/N31,0)," ")</f>
        <v> </v>
      </c>
      <c r="P31" s="202">
        <f>COUNTIF('様式4'!$AR$4:$AR$303,"2乗2005")</f>
        <v>0</v>
      </c>
      <c r="Q31" s="212">
        <f>COUNTIF('様式4'!$AR$4:$AR$303,"2乗")-COUNTIF('様式4'!$AO$4:$AO$303,"2乗")+'計算シート'!E18</f>
        <v>0</v>
      </c>
      <c r="R31" s="212">
        <f aca="true" t="shared" si="5" ref="R31:R42">E31+H31+K31+N31</f>
        <v>0</v>
      </c>
      <c r="S31" s="212">
        <f aca="true" t="shared" si="6" ref="S31:S42">G31+J31+M31+P31</f>
        <v>0</v>
      </c>
      <c r="T31" s="203">
        <f aca="true" t="shared" si="7" ref="T31:T42">D31+Q31-R31+S31</f>
        <v>0</v>
      </c>
    </row>
    <row r="32" spans="1:20" s="211" customFormat="1" ht="24.75" customHeight="1" hidden="1">
      <c r="A32" s="507"/>
      <c r="B32" s="513"/>
      <c r="C32" s="201" t="s">
        <v>27</v>
      </c>
      <c r="D32" s="202">
        <f>COUNTIF('様式4'!$AI$4:$AI$303,"3乗")</f>
        <v>0</v>
      </c>
      <c r="E32" s="202">
        <f>COUNTIF('様式4'!$AO$4:$AO$303,"3乗2002")</f>
        <v>0</v>
      </c>
      <c r="F32" s="202" t="str">
        <f>IF(E32&gt;0,ROUND(SUMIF('様式4'!$AO$4:$AO$303,"=3乗2002",'様式4'!$AP$4:$AP$303)/E32,0)," ")</f>
        <v> </v>
      </c>
      <c r="G32" s="202">
        <f>COUNTIF('様式4'!$AR$4:$AR$303,"3乗2002")</f>
        <v>0</v>
      </c>
      <c r="H32" s="202">
        <f>COUNTIF('様式4'!$AO$4:$AO$303,"3乗2003")</f>
        <v>0</v>
      </c>
      <c r="I32" s="202" t="str">
        <f>IF(H32&gt;0,ROUND(SUMIF('様式4'!$AO$4:$AO$303,"=3乗2003",'様式4'!$AP$4:$AP$303)/H32,0)," ")</f>
        <v> </v>
      </c>
      <c r="J32" s="202">
        <f>COUNTIF('様式4'!$AR$4:$AR$303,"3乗2003")</f>
        <v>0</v>
      </c>
      <c r="K32" s="202">
        <f>COUNTIF('様式4'!$AO$4:$AO$303,"3乗2004")</f>
        <v>0</v>
      </c>
      <c r="L32" s="202" t="str">
        <f>IF(K32&gt;0,ROUND(SUMIF('様式4'!$AO$4:$AO$303,"=3乗2004",'様式4'!$AP$4:$AP$303)/K32,0)," ")</f>
        <v> </v>
      </c>
      <c r="M32" s="202">
        <f>COUNTIF('様式4'!$AR$4:$AR$303,"3乗2004")</f>
        <v>0</v>
      </c>
      <c r="N32" s="202">
        <f>COUNTIF('様式4'!$AO$4:$AO$303,"3乗2005")</f>
        <v>0</v>
      </c>
      <c r="O32" s="202" t="str">
        <f>IF(N32&gt;0,ROUND(SUMIF('様式4'!$AO$4:$AO$303,"=3乗2005",'様式4'!$AP$4:$AP$303)/N32,0)," ")</f>
        <v> </v>
      </c>
      <c r="P32" s="202">
        <f>COUNTIF('様式4'!$AR$4:$AR$303,"3乗2005")</f>
        <v>0</v>
      </c>
      <c r="Q32" s="212">
        <f>COUNTIF('様式4'!$AR$4:$AR$303,"3乗")-COUNTIF('様式4'!$AO$4:$AO$303,"3乗")+'計算シート'!F18</f>
        <v>0</v>
      </c>
      <c r="R32" s="212">
        <f t="shared" si="5"/>
        <v>0</v>
      </c>
      <c r="S32" s="212">
        <f t="shared" si="6"/>
        <v>0</v>
      </c>
      <c r="T32" s="203">
        <f t="shared" si="7"/>
        <v>0</v>
      </c>
    </row>
    <row r="33" spans="1:20" s="211" customFormat="1" ht="24.75" customHeight="1" hidden="1">
      <c r="A33" s="507"/>
      <c r="B33" s="513"/>
      <c r="C33" s="201" t="s">
        <v>419</v>
      </c>
      <c r="D33" s="202">
        <f>COUNTIF('様式4'!$AI$4:$AI$303,"4乗")</f>
        <v>0</v>
      </c>
      <c r="E33" s="202">
        <f>COUNTIF('様式4'!$AO$4:$AO$303,"4乗2002")</f>
        <v>0</v>
      </c>
      <c r="F33" s="202" t="str">
        <f>IF(E33&gt;0,ROUND(SUMIF('様式4'!$AO$4:$AO$303,"=4乗2002",'様式4'!$AP$4:$AP$303)/E33,0)," ")</f>
        <v> </v>
      </c>
      <c r="G33" s="202">
        <f>COUNTIF('様式4'!$AR$4:$AR$303,"4乗2002")</f>
        <v>0</v>
      </c>
      <c r="H33" s="202">
        <f>COUNTIF('様式4'!$AO$4:$AO$303,"4乗2003")</f>
        <v>0</v>
      </c>
      <c r="I33" s="202" t="str">
        <f>IF(H33&gt;0,ROUND(SUMIF('様式4'!$AO$4:$AO$303,"=4乗2003",'様式4'!$AP$4:$AP$303)/H33,0)," ")</f>
        <v> </v>
      </c>
      <c r="J33" s="202">
        <f>COUNTIF('様式4'!$AR$4:$AR$303,"4乗2003")</f>
        <v>0</v>
      </c>
      <c r="K33" s="202">
        <f>COUNTIF('様式4'!$AO$4:$AO$303,"4乗2004")</f>
        <v>0</v>
      </c>
      <c r="L33" s="202" t="str">
        <f>IF(K33&gt;0,ROUND(SUMIF('様式4'!$AO$4:$AO$303,"=4乗2004",'様式4'!$AP$4:$AP$303)/K33,0)," ")</f>
        <v> </v>
      </c>
      <c r="M33" s="202">
        <f>COUNTIF('様式4'!$AR$4:$AR$303,"4乗2004")</f>
        <v>0</v>
      </c>
      <c r="N33" s="202">
        <f>COUNTIF('様式4'!$AO$4:$AO$303,"4乗2005")</f>
        <v>0</v>
      </c>
      <c r="O33" s="202" t="str">
        <f>IF(N33&gt;0,ROUND(SUMIF('様式4'!$AO$4:$AO$303,"=4乗2005",'様式4'!$AP$4:$AP$303)/N33,0)," ")</f>
        <v> </v>
      </c>
      <c r="P33" s="202">
        <f>COUNTIF('様式4'!$AR$4:$AR$303,"4乗2005")</f>
        <v>0</v>
      </c>
      <c r="Q33" s="212">
        <f>COUNTIF('様式4'!$AR$4:$AR$303,"4乗")-COUNTIF('様式4'!$AO$4:$AO$303,"4乗")+'計算シート'!G18</f>
        <v>0</v>
      </c>
      <c r="R33" s="212">
        <f t="shared" si="5"/>
        <v>0</v>
      </c>
      <c r="S33" s="212">
        <f t="shared" si="6"/>
        <v>0</v>
      </c>
      <c r="T33" s="203">
        <f t="shared" si="7"/>
        <v>0</v>
      </c>
    </row>
    <row r="34" spans="1:20" s="211" customFormat="1" ht="24.75" customHeight="1" hidden="1">
      <c r="A34" s="507"/>
      <c r="B34" s="514"/>
      <c r="C34" s="201" t="s">
        <v>429</v>
      </c>
      <c r="D34" s="202">
        <f>COUNTIF('様式4'!$AI$4:$AI$303,"5乗")</f>
        <v>0</v>
      </c>
      <c r="E34" s="202">
        <f>COUNTIF('様式4'!$AO$4:$AO$303,"5乗2002")</f>
        <v>0</v>
      </c>
      <c r="F34" s="202" t="str">
        <f>IF(E34&gt;0,ROUND(SUMIF('様式4'!$AO$4:$AO$303,"=5乗2002",'様式4'!$AP$4:$AP$303)/E34,0)," ")</f>
        <v> </v>
      </c>
      <c r="G34" s="202">
        <f>COUNTIF('様式4'!$AR$4:$AR$303,"5乗2002")</f>
        <v>0</v>
      </c>
      <c r="H34" s="202">
        <f>COUNTIF('様式4'!$AO$4:$AO$303,"5乗2003")</f>
        <v>0</v>
      </c>
      <c r="I34" s="202" t="str">
        <f>IF(H34&gt;0,ROUND(SUMIF('様式4'!$AO$4:$AO$303,"=5乗2003",'様式4'!$AP$4:$AP$303)/H34,0)," ")</f>
        <v> </v>
      </c>
      <c r="J34" s="202">
        <f>COUNTIF('様式4'!$AR$4:$AR$303,"5乗2003")</f>
        <v>0</v>
      </c>
      <c r="K34" s="202">
        <f>COUNTIF('様式4'!$AO$4:$AO$303,"5乗2004")</f>
        <v>0</v>
      </c>
      <c r="L34" s="202" t="str">
        <f>IF(K34&gt;0,ROUND(SUMIF('様式4'!$AO$4:$AO$303,"=5乗2004",'様式4'!$AP$4:$AP$303)/K34,0)," ")</f>
        <v> </v>
      </c>
      <c r="M34" s="202">
        <f>COUNTIF('様式4'!$AR$4:$AR$303,"5乗2004")</f>
        <v>0</v>
      </c>
      <c r="N34" s="202">
        <f>COUNTIF('様式4'!$AO$4:$AO$303,"5乗2005")</f>
        <v>0</v>
      </c>
      <c r="O34" s="202" t="str">
        <f>IF(N34&gt;0,ROUND(SUMIF('様式4'!$AO$4:$AO$303,"=5乗2005",'様式4'!$AP$4:$AP$303)/N34,0)," ")</f>
        <v> </v>
      </c>
      <c r="P34" s="202">
        <f>COUNTIF('様式4'!$AR$4:$AR$303,"5乗2005")</f>
        <v>0</v>
      </c>
      <c r="Q34" s="212">
        <f>COUNTIF('様式4'!$AR$4:$AR$303,"5乗")-COUNTIF('様式4'!$AO$4:$AO$303,"5乗")+'計算シート'!H18</f>
        <v>0</v>
      </c>
      <c r="R34" s="212">
        <f t="shared" si="5"/>
        <v>0</v>
      </c>
      <c r="S34" s="212">
        <f t="shared" si="6"/>
        <v>0</v>
      </c>
      <c r="T34" s="203">
        <f t="shared" si="7"/>
        <v>0</v>
      </c>
    </row>
    <row r="35" spans="1:20" s="211" customFormat="1" ht="24.75" customHeight="1" hidden="1">
      <c r="A35" s="507"/>
      <c r="B35" s="515" t="s">
        <v>47</v>
      </c>
      <c r="C35" s="258" t="s">
        <v>7</v>
      </c>
      <c r="D35" s="202">
        <f>COUNTIF('様式4'!$AI$4:$AI$303,"6乗")</f>
        <v>0</v>
      </c>
      <c r="E35" s="202">
        <f>COUNTIF('様式4'!$AO$4:$AO$303,"6乗2002")</f>
        <v>0</v>
      </c>
      <c r="F35" s="202" t="str">
        <f>IF(E35&gt;0,ROUND(SUMIF('様式4'!$AO$4:$AO$303,"=6乗2002",'様式4'!$AP$4:$AP$303)/E35,0)," ")</f>
        <v> </v>
      </c>
      <c r="G35" s="202">
        <f>COUNTIF('様式4'!$AR$4:$AR$303,"6乗2002")</f>
        <v>0</v>
      </c>
      <c r="H35" s="202">
        <f>COUNTIF('様式4'!$AO$4:$AO$303,"6乗2003")</f>
        <v>0</v>
      </c>
      <c r="I35" s="202" t="str">
        <f>IF(H35&gt;0,ROUND(SUMIF('様式4'!$AO$4:$AO$303,"=6乗2003",'様式4'!$AP$4:$AP$303)/H35,0)," ")</f>
        <v> </v>
      </c>
      <c r="J35" s="202">
        <f>COUNTIF('様式4'!$AR$4:$AR$303,"6乗2003")</f>
        <v>0</v>
      </c>
      <c r="K35" s="202">
        <f>COUNTIF('様式4'!$AO$4:$AO$303,"6乗2004")</f>
        <v>0</v>
      </c>
      <c r="L35" s="202" t="str">
        <f>IF(K35&gt;0,ROUND(SUMIF('様式4'!$AO$4:$AO$303,"=6乗2004",'様式4'!$AP$4:$AP$303)/K35,0)," ")</f>
        <v> </v>
      </c>
      <c r="M35" s="202">
        <f>COUNTIF('様式4'!$AR$4:$AR$303,"6乗2004")</f>
        <v>0</v>
      </c>
      <c r="N35" s="202">
        <f>COUNTIF('様式4'!$AO$4:$AO$303,"6乗2005")</f>
        <v>0</v>
      </c>
      <c r="O35" s="202" t="str">
        <f>IF(N35&gt;0,ROUND(SUMIF('様式4'!$AO$4:$AO$303,"=6乗2005",'様式4'!$AP$4:$AP$303)/N35,0)," ")</f>
        <v> </v>
      </c>
      <c r="P35" s="202">
        <f>COUNTIF('様式4'!$AR$4:$AR$303,"6乗2005")</f>
        <v>0</v>
      </c>
      <c r="Q35" s="212">
        <f>COUNTIF('様式4'!$AR$4:$AR$303,"6乗")-COUNTIF('様式4'!$AO$4:$AO$303,"6乗")+'計算シート'!I18</f>
        <v>0</v>
      </c>
      <c r="R35" s="212">
        <f t="shared" si="5"/>
        <v>0</v>
      </c>
      <c r="S35" s="212">
        <f t="shared" si="6"/>
        <v>0</v>
      </c>
      <c r="T35" s="203">
        <f t="shared" si="7"/>
        <v>0</v>
      </c>
    </row>
    <row r="36" spans="1:20" s="211" customFormat="1" ht="24.75" customHeight="1" hidden="1">
      <c r="A36" s="507"/>
      <c r="B36" s="513"/>
      <c r="C36" s="258" t="s">
        <v>8</v>
      </c>
      <c r="D36" s="202">
        <f>COUNTIF('様式4'!$AI$4:$AI$303,"7乗")</f>
        <v>0</v>
      </c>
      <c r="E36" s="202">
        <f>COUNTIF('様式4'!$AO$4:$AO$303,"7乗2002")</f>
        <v>0</v>
      </c>
      <c r="F36" s="202" t="str">
        <f>IF(E36&gt;0,ROUND(SUMIF('様式4'!$AO$4:$AO$303,"=7乗2002",'様式4'!$AP$4:$AP$303)/E36,0)," ")</f>
        <v> </v>
      </c>
      <c r="G36" s="202">
        <f>COUNTIF('様式4'!$AR$4:$AR$303,"7乗2002")</f>
        <v>0</v>
      </c>
      <c r="H36" s="202">
        <f>COUNTIF('様式4'!$AO$4:$AO$303,"7乗2003")</f>
        <v>0</v>
      </c>
      <c r="I36" s="202" t="str">
        <f>IF(H36&gt;0,ROUND(SUMIF('様式4'!$AO$4:$AO$303,"=7乗2003",'様式4'!$AP$4:$AP$303)/H36,0)," ")</f>
        <v> </v>
      </c>
      <c r="J36" s="202">
        <f>COUNTIF('様式4'!$AR$4:$AR$303,"7乗2003")</f>
        <v>0</v>
      </c>
      <c r="K36" s="202">
        <f>COUNTIF('様式4'!$AO$4:$AO$303,"7乗2004")</f>
        <v>0</v>
      </c>
      <c r="L36" s="202" t="str">
        <f>IF(K36&gt;0,ROUND(SUMIF('様式4'!$AO$4:$AO$303,"=7乗2004",'様式4'!$AP$4:$AP$303)/K36,0)," ")</f>
        <v> </v>
      </c>
      <c r="M36" s="202">
        <f>COUNTIF('様式4'!$AR$4:$AR$303,"7乗2004")</f>
        <v>0</v>
      </c>
      <c r="N36" s="202">
        <f>COUNTIF('様式4'!$AO$4:$AO$303,"7乗2005")</f>
        <v>0</v>
      </c>
      <c r="O36" s="202" t="str">
        <f>IF(N36&gt;0,ROUND(SUMIF('様式4'!$AO$4:$AO$303,"=7乗2005",'様式4'!$AP$4:$AP$303)/N36,0)," ")</f>
        <v> </v>
      </c>
      <c r="P36" s="202">
        <f>COUNTIF('様式4'!$AR$4:$AR$303,"7乗2005")</f>
        <v>0</v>
      </c>
      <c r="Q36" s="212">
        <f>COUNTIF('様式4'!$AR$4:$AR$303,"7乗")-COUNTIF('様式4'!$AO$4:$AO$303,"7乗")+'計算シート'!J18</f>
        <v>0</v>
      </c>
      <c r="R36" s="212">
        <f t="shared" si="5"/>
        <v>0</v>
      </c>
      <c r="S36" s="212">
        <f t="shared" si="6"/>
        <v>0</v>
      </c>
      <c r="T36" s="203">
        <f t="shared" si="7"/>
        <v>0</v>
      </c>
    </row>
    <row r="37" spans="1:20" s="211" customFormat="1" ht="24.75" customHeight="1" hidden="1">
      <c r="A37" s="507"/>
      <c r="B37" s="513"/>
      <c r="C37" s="258" t="s">
        <v>9</v>
      </c>
      <c r="D37" s="202">
        <f>COUNTIF('様式4'!$AI$4:$AI$303,"8乗")</f>
        <v>0</v>
      </c>
      <c r="E37" s="202">
        <f>COUNTIF('様式4'!$AO$4:$AO$303,"8乗2002")</f>
        <v>0</v>
      </c>
      <c r="F37" s="202" t="str">
        <f>IF(E37&gt;0,ROUND(SUMIF('様式4'!$AO$4:$AO$303,"=8乗2002",'様式4'!$AP$4:$AP$303)/E37,0)," ")</f>
        <v> </v>
      </c>
      <c r="G37" s="202">
        <f>COUNTIF('様式4'!$AR$4:$AR$303,"8乗2002")</f>
        <v>0</v>
      </c>
      <c r="H37" s="202">
        <f>COUNTIF('様式4'!$AO$4:$AO$303,"8乗2003")</f>
        <v>0</v>
      </c>
      <c r="I37" s="202" t="str">
        <f>IF(H37&gt;0,ROUND(SUMIF('様式4'!$AO$4:$AO$303,"=8乗2003",'様式4'!$AP$4:$AP$303)/H37,0)," ")</f>
        <v> </v>
      </c>
      <c r="J37" s="202">
        <f>COUNTIF('様式4'!$AR$4:$AR$303,"8乗2003")</f>
        <v>0</v>
      </c>
      <c r="K37" s="202">
        <f>COUNTIF('様式4'!$AO$4:$AO$303,"8乗2004")</f>
        <v>0</v>
      </c>
      <c r="L37" s="202" t="str">
        <f>IF(K37&gt;0,ROUND(SUMIF('様式4'!$AO$4:$AO$303,"=8乗2004",'様式4'!$AP$4:$AP$303)/K37,0)," ")</f>
        <v> </v>
      </c>
      <c r="M37" s="202">
        <f>COUNTIF('様式4'!$AR$4:$AR$303,"8乗2004")</f>
        <v>0</v>
      </c>
      <c r="N37" s="202">
        <f>COUNTIF('様式4'!$AO$4:$AO$303,"8乗2005")</f>
        <v>0</v>
      </c>
      <c r="O37" s="202" t="str">
        <f>IF(N37&gt;0,ROUND(SUMIF('様式4'!$AO$4:$AO$303,"=8乗2005",'様式4'!$AP$4:$AP$303)/N37,0)," ")</f>
        <v> </v>
      </c>
      <c r="P37" s="202">
        <f>COUNTIF('様式4'!$AR$4:$AR$303,"8乗2005")</f>
        <v>0</v>
      </c>
      <c r="Q37" s="212">
        <f>COUNTIF('様式4'!$AR$4:$AR$303,"8乗")-COUNTIF('様式4'!$AO$4:$AO$303,"8乗")+'計算シート'!K18</f>
        <v>0</v>
      </c>
      <c r="R37" s="212">
        <f t="shared" si="5"/>
        <v>0</v>
      </c>
      <c r="S37" s="212">
        <f t="shared" si="6"/>
        <v>0</v>
      </c>
      <c r="T37" s="203">
        <f t="shared" si="7"/>
        <v>0</v>
      </c>
    </row>
    <row r="38" spans="1:20" s="211" customFormat="1" ht="24.75" customHeight="1" hidden="1">
      <c r="A38" s="507"/>
      <c r="B38" s="513"/>
      <c r="C38" s="258" t="s">
        <v>10</v>
      </c>
      <c r="D38" s="202">
        <f>COUNTIF('様式4'!$AI$4:$AI$303,"9乗")</f>
        <v>0</v>
      </c>
      <c r="E38" s="202">
        <f>COUNTIF('様式4'!$AO$4:$AO$303,"9乗2002")</f>
        <v>0</v>
      </c>
      <c r="F38" s="202" t="str">
        <f>IF(E38&gt;0,ROUND(SUMIF('様式4'!$AO$4:$AO$303,"=9乗2002",'様式4'!$AP$4:$AP$303)/E38,0)," ")</f>
        <v> </v>
      </c>
      <c r="G38" s="202">
        <f>COUNTIF('様式4'!$AR$4:$AR$303,"9乗2002")</f>
        <v>0</v>
      </c>
      <c r="H38" s="202">
        <f>COUNTIF('様式4'!$AO$4:$AO$303,"9乗2003")</f>
        <v>0</v>
      </c>
      <c r="I38" s="202" t="str">
        <f>IF(H38&gt;0,ROUND(SUMIF('様式4'!$AO$4:$AO$303,"=9乗2003",'様式4'!$AP$4:$AP$303)/H38,0)," ")</f>
        <v> </v>
      </c>
      <c r="J38" s="202">
        <f>COUNTIF('様式4'!$AR$4:$AR$303,"9乗2003")</f>
        <v>0</v>
      </c>
      <c r="K38" s="202">
        <f>COUNTIF('様式4'!$AO$4:$AO$303,"9乗2004")</f>
        <v>0</v>
      </c>
      <c r="L38" s="202" t="str">
        <f>IF(K38&gt;0,ROUND(SUMIF('様式4'!$AO$4:$AO$303,"=9乗2004",'様式4'!$AP$4:$AP$303)/K38,0)," ")</f>
        <v> </v>
      </c>
      <c r="M38" s="202">
        <f>COUNTIF('様式4'!$AR$4:$AR$303,"9乗2004")</f>
        <v>0</v>
      </c>
      <c r="N38" s="202">
        <f>COUNTIF('様式4'!$AO$4:$AO$303,"9乗2005")</f>
        <v>0</v>
      </c>
      <c r="O38" s="202" t="str">
        <f>IF(N38&gt;0,ROUND(SUMIF('様式4'!$AO$4:$AO$303,"=9乗2005",'様式4'!$AP$4:$AP$303)/N38,0)," ")</f>
        <v> </v>
      </c>
      <c r="P38" s="202">
        <f>COUNTIF('様式4'!$AR$4:$AR$303,"9乗2005")</f>
        <v>0</v>
      </c>
      <c r="Q38" s="212">
        <f>COUNTIF('様式4'!$AR$4:$AR$303,"9乗")-COUNTIF('様式4'!$AO$4:$AO$303,"9乗")+'計算シート'!L18</f>
        <v>0</v>
      </c>
      <c r="R38" s="212">
        <f t="shared" si="5"/>
        <v>0</v>
      </c>
      <c r="S38" s="212">
        <f t="shared" si="6"/>
        <v>0</v>
      </c>
      <c r="T38" s="203">
        <f t="shared" si="7"/>
        <v>0</v>
      </c>
    </row>
    <row r="39" spans="1:20" s="211" customFormat="1" ht="24.75" customHeight="1" hidden="1">
      <c r="A39" s="507"/>
      <c r="B39" s="513"/>
      <c r="C39" s="258" t="s">
        <v>416</v>
      </c>
      <c r="D39" s="202">
        <f>COUNTIF('様式4'!$AI$4:$AI$303,"10乗")</f>
        <v>0</v>
      </c>
      <c r="E39" s="202">
        <f>COUNTIF('様式4'!$AO$4:$AO$303,"10乗2002")</f>
        <v>0</v>
      </c>
      <c r="F39" s="202" t="str">
        <f>IF(E39&gt;0,ROUND(SUMIF('様式4'!$AO$4:$AO$303,"=10乗2002",'様式4'!$AP$4:$AP$303)/E39,0)," ")</f>
        <v> </v>
      </c>
      <c r="G39" s="202">
        <f>COUNTIF('様式4'!$AR$4:$AR$303,"10乗2002")</f>
        <v>0</v>
      </c>
      <c r="H39" s="202">
        <f>COUNTIF('様式4'!$AO$4:$AO$303,"10乗2003")</f>
        <v>0</v>
      </c>
      <c r="I39" s="202" t="str">
        <f>IF(H39&gt;0,ROUND(SUMIF('様式4'!$AO$4:$AO$303,"=10乗2003",'様式4'!$AP$4:$AP$303)/H39,0)," ")</f>
        <v> </v>
      </c>
      <c r="J39" s="202">
        <f>COUNTIF('様式4'!$AR$4:$AR$303,"10乗2003")</f>
        <v>0</v>
      </c>
      <c r="K39" s="202">
        <f>COUNTIF('様式4'!$AO$4:$AO$303,"10乗2004")</f>
        <v>0</v>
      </c>
      <c r="L39" s="202" t="str">
        <f>IF(K39&gt;0,ROUND(SUMIF('様式4'!$AO$4:$AO$303,"=10乗2004",'様式4'!$AP$4:$AP$303)/K39,0)," ")</f>
        <v> </v>
      </c>
      <c r="M39" s="202">
        <f>COUNTIF('様式4'!$AR$4:$AR$303,"10乗2004")</f>
        <v>0</v>
      </c>
      <c r="N39" s="202">
        <f>COUNTIF('様式4'!$AO$4:$AO$303,"10乗2005")</f>
        <v>0</v>
      </c>
      <c r="O39" s="202" t="str">
        <f>IF(N39&gt;0,ROUND(SUMIF('様式4'!$AO$4:$AO$303,"=10乗2005",'様式4'!$AP$4:$AP$303)/N39,0)," ")</f>
        <v> </v>
      </c>
      <c r="P39" s="202">
        <f>COUNTIF('様式4'!$AR$4:$AR$303,"10乗2005")</f>
        <v>0</v>
      </c>
      <c r="Q39" s="212">
        <f>COUNTIF('様式4'!$AR$4:$AR$303,"10乗")-COUNTIF('様式4'!$AO$4:$AO$303,"10乗")+'計算シート'!M18</f>
        <v>0</v>
      </c>
      <c r="R39" s="212">
        <f t="shared" si="5"/>
        <v>0</v>
      </c>
      <c r="S39" s="212">
        <f t="shared" si="6"/>
        <v>0</v>
      </c>
      <c r="T39" s="203">
        <f t="shared" si="7"/>
        <v>0</v>
      </c>
    </row>
    <row r="40" spans="1:20" s="211" customFormat="1" ht="24.75" customHeight="1" hidden="1">
      <c r="A40" s="507"/>
      <c r="B40" s="514"/>
      <c r="C40" s="258" t="s">
        <v>11</v>
      </c>
      <c r="D40" s="202">
        <f>COUNTIF('様式4'!$AI$4:$AI$303,"11乗")</f>
        <v>0</v>
      </c>
      <c r="E40" s="202">
        <f>COUNTIF('様式4'!$AO$4:$AO$303,"11乗2002")</f>
        <v>0</v>
      </c>
      <c r="F40" s="202" t="str">
        <f>IF(E40&gt;0,ROUND(SUMIF('様式4'!$AO$4:$AO$303,"=11乗2002",'様式4'!$AP$4:$AP$303)/E40,0)," ")</f>
        <v> </v>
      </c>
      <c r="G40" s="202">
        <f>COUNTIF('様式4'!$AR$4:$AR$303,"11乗2002")</f>
        <v>0</v>
      </c>
      <c r="H40" s="202">
        <f>COUNTIF('様式4'!$AO$4:$AO$303,"11乗2003")</f>
        <v>0</v>
      </c>
      <c r="I40" s="202" t="str">
        <f>IF(H40&gt;0,ROUND(SUMIF('様式4'!$AO$4:$AO$303,"=11乗2003",'様式4'!$AP$4:$AP$303)/H40,0)," ")</f>
        <v> </v>
      </c>
      <c r="J40" s="202">
        <f>COUNTIF('様式4'!$AR$4:$AR$303,"11乗2003")</f>
        <v>0</v>
      </c>
      <c r="K40" s="202">
        <f>COUNTIF('様式4'!$AO$4:$AO$303,"11乗2004")</f>
        <v>0</v>
      </c>
      <c r="L40" s="202" t="str">
        <f>IF(K40&gt;0,ROUND(SUMIF('様式4'!$AO$4:$AO$303,"=11乗2004",'様式4'!$AP$4:$AP$303)/K40,0)," ")</f>
        <v> </v>
      </c>
      <c r="M40" s="202">
        <f>COUNTIF('様式4'!$AR$4:$AR$303,"11乗2004")</f>
        <v>0</v>
      </c>
      <c r="N40" s="202">
        <f>COUNTIF('様式4'!$AO$4:$AO$303,"11乗2005")</f>
        <v>0</v>
      </c>
      <c r="O40" s="202" t="str">
        <f>IF(N40&gt;0,ROUND(SUMIF('様式4'!$AO$4:$AO$303,"=11乗2005",'様式4'!$AP$4:$AP$303)/N40,0)," ")</f>
        <v> </v>
      </c>
      <c r="P40" s="202">
        <f>COUNTIF('様式4'!$AR$4:$AR$303,"11乗2005")</f>
        <v>0</v>
      </c>
      <c r="Q40" s="212">
        <f>COUNTIF('様式4'!$AR$4:$AR$303,"11乗")-COUNTIF('様式4'!$AO$4:$AO$303,"11乗")+'計算シート'!N18</f>
        <v>0</v>
      </c>
      <c r="R40" s="212">
        <f t="shared" si="5"/>
        <v>0</v>
      </c>
      <c r="S40" s="212">
        <f t="shared" si="6"/>
        <v>0</v>
      </c>
      <c r="T40" s="203">
        <f t="shared" si="7"/>
        <v>0</v>
      </c>
    </row>
    <row r="41" spans="1:20" s="211" customFormat="1" ht="24.75" customHeight="1" hidden="1">
      <c r="A41" s="507"/>
      <c r="B41" s="515" t="s">
        <v>334</v>
      </c>
      <c r="C41" s="201" t="s">
        <v>323</v>
      </c>
      <c r="D41" s="202">
        <f>COUNTIF('様式4'!$AI$4:$AI$303,"12乗")</f>
        <v>0</v>
      </c>
      <c r="E41" s="202">
        <f>COUNTIF('様式4'!$AO$4:$AO$303,"12乗2002")</f>
        <v>0</v>
      </c>
      <c r="F41" s="202" t="str">
        <f>IF(E41&gt;0,ROUND(SUMIF('様式4'!$AO$4:$AO$303,"=12乗2002",'様式4'!$AP$4:$AP$303)/E41,0)," ")</f>
        <v> </v>
      </c>
      <c r="G41" s="202">
        <f>COUNTIF('様式4'!$AR$4:$AR$303,"12乗2002")</f>
        <v>0</v>
      </c>
      <c r="H41" s="202">
        <f>COUNTIF('様式4'!$AO$4:$AO$303,"12乗2003")</f>
        <v>0</v>
      </c>
      <c r="I41" s="202" t="str">
        <f>IF(H41&gt;0,ROUND(SUMIF('様式4'!$AO$4:$AO$303,"=12乗2003",'様式4'!$AP$4:$AP$303)/H41,0)," ")</f>
        <v> </v>
      </c>
      <c r="J41" s="202">
        <f>COUNTIF('様式4'!$AR$4:$AR$303,"12乗2003")</f>
        <v>0</v>
      </c>
      <c r="K41" s="202">
        <f>COUNTIF('様式4'!$AO$4:$AO$303,"12乗2004")</f>
        <v>0</v>
      </c>
      <c r="L41" s="202" t="str">
        <f>IF(K41&gt;0,ROUND(SUMIF('様式4'!$AO$4:$AO$303,"=12乗2004",'様式4'!$AP$4:$AP$303)/K41,0)," ")</f>
        <v> </v>
      </c>
      <c r="M41" s="202">
        <f>COUNTIF('様式4'!$AR$4:$AR$303,"12乗2004")</f>
        <v>0</v>
      </c>
      <c r="N41" s="202">
        <f>COUNTIF('様式4'!$AO$4:$AO$303,"12乗2005")</f>
        <v>0</v>
      </c>
      <c r="O41" s="202" t="str">
        <f>IF(N41&gt;0,ROUND(SUMIF('様式4'!$AO$4:$AO$303,"=12乗2005",'様式4'!$AP$4:$AP$303)/N41,0)," ")</f>
        <v> </v>
      </c>
      <c r="P41" s="202">
        <f>COUNTIF('様式4'!$AR$4:$AR$303,"12乗2005")</f>
        <v>0</v>
      </c>
      <c r="Q41" s="212">
        <f>COUNTIF('様式4'!$AR$4:$AR$303,"12乗")-COUNTIF('様式4'!$AO$4:$AO$303,"12乗")+'計算シート'!O18</f>
        <v>0</v>
      </c>
      <c r="R41" s="212">
        <f t="shared" si="5"/>
        <v>0</v>
      </c>
      <c r="S41" s="212">
        <f t="shared" si="6"/>
        <v>0</v>
      </c>
      <c r="T41" s="203">
        <f t="shared" si="7"/>
        <v>0</v>
      </c>
    </row>
    <row r="42" spans="1:20" s="211" customFormat="1" ht="24.75" customHeight="1" hidden="1">
      <c r="A42" s="507"/>
      <c r="B42" s="514"/>
      <c r="C42" s="201" t="s">
        <v>408</v>
      </c>
      <c r="D42" s="202">
        <f>COUNTIF('様式4'!$AI$4:$AI$303,"13乗")</f>
        <v>0</v>
      </c>
      <c r="E42" s="202">
        <f>COUNTIF('様式4'!$AO$4:$AO$303,"13乗2002")</f>
        <v>0</v>
      </c>
      <c r="F42" s="202" t="str">
        <f>IF(E42&gt;0,ROUND(SUMIF('様式4'!$AO$4:$AO$303,"=13乗2002",'様式4'!$AP$4:$AP$303)/E42,0)," ")</f>
        <v> </v>
      </c>
      <c r="G42" s="202">
        <f>COUNTIF('様式4'!$AR$4:$AR$303,"13乗2002")</f>
        <v>0</v>
      </c>
      <c r="H42" s="202">
        <f>COUNTIF('様式4'!$AO$4:$AO$303,"13乗2003")</f>
        <v>0</v>
      </c>
      <c r="I42" s="202" t="str">
        <f>IF(H42&gt;0,ROUND(SUMIF('様式4'!$AO$4:$AO$303,"=13乗2003",'様式4'!$AP$4:$AP$303)/H42,0)," ")</f>
        <v> </v>
      </c>
      <c r="J42" s="202">
        <f>COUNTIF('様式4'!$AR$4:$AR$303,"13乗2003")</f>
        <v>0</v>
      </c>
      <c r="K42" s="202">
        <f>COUNTIF('様式4'!$AO$4:$AO$303,"13乗2004")</f>
        <v>0</v>
      </c>
      <c r="L42" s="202" t="str">
        <f>IF(K42&gt;0,ROUND(SUMIF('様式4'!$AO$4:$AO$303,"=13乗2004",'様式4'!$AP$4:$AP$303)/K42,0)," ")</f>
        <v> </v>
      </c>
      <c r="M42" s="202">
        <f>COUNTIF('様式4'!$AR$4:$AR$303,"13乗2004")</f>
        <v>0</v>
      </c>
      <c r="N42" s="202">
        <f>COUNTIF('様式4'!$AO$4:$AO$303,"13乗2005")</f>
        <v>0</v>
      </c>
      <c r="O42" s="202" t="str">
        <f>IF(N42&gt;0,ROUND(SUMIF('様式4'!$AO$4:$AO$303,"=13乗2005",'様式4'!$AP$4:$AP$303)/N42,0)," ")</f>
        <v> </v>
      </c>
      <c r="P42" s="202">
        <f>COUNTIF('様式4'!$AR$4:$AR$303,"13乗2005")</f>
        <v>0</v>
      </c>
      <c r="Q42" s="212">
        <f>COUNTIF('様式4'!$AR$4:$AR$303,"13乗")-COUNTIF('様式4'!$AO$4:$AO$303,"13乗")+'計算シート'!P18</f>
        <v>0</v>
      </c>
      <c r="R42" s="212">
        <f t="shared" si="5"/>
        <v>0</v>
      </c>
      <c r="S42" s="212">
        <f t="shared" si="6"/>
        <v>0</v>
      </c>
      <c r="T42" s="203">
        <f t="shared" si="7"/>
        <v>0</v>
      </c>
    </row>
    <row r="43" spans="1:20" s="211" customFormat="1" ht="24.75" customHeight="1" hidden="1">
      <c r="A43" s="507"/>
      <c r="B43" s="213"/>
      <c r="C43" s="68" t="s">
        <v>432</v>
      </c>
      <c r="D43" s="214"/>
      <c r="E43" s="214"/>
      <c r="F43" s="214"/>
      <c r="G43" s="202">
        <f>COUNTIF('様式4'!$AR$4:$AR$303,"乗2002")</f>
        <v>0</v>
      </c>
      <c r="H43" s="214"/>
      <c r="I43" s="214"/>
      <c r="J43" s="202">
        <f>COUNTIF('様式4'!$AR$4:$AR$303,"乗2003")</f>
        <v>0</v>
      </c>
      <c r="K43" s="214"/>
      <c r="L43" s="214"/>
      <c r="M43" s="202">
        <f>COUNTIF('様式4'!$AR$4:$AR$303,"乗2004")</f>
        <v>0</v>
      </c>
      <c r="N43" s="214"/>
      <c r="O43" s="214"/>
      <c r="P43" s="202">
        <f>COUNTIF('様式4'!$AR$4:$AR$303,"乗2005")</f>
        <v>0</v>
      </c>
      <c r="Q43" s="212">
        <f>'計算シート'!S18</f>
        <v>0</v>
      </c>
      <c r="R43" s="215"/>
      <c r="S43" s="212"/>
      <c r="T43" s="203">
        <f>Q43</f>
        <v>0</v>
      </c>
    </row>
    <row r="44" spans="1:20" s="211" customFormat="1" ht="24.75" customHeight="1" hidden="1" thickBot="1">
      <c r="A44" s="508"/>
      <c r="B44" s="216"/>
      <c r="C44" s="69" t="s">
        <v>594</v>
      </c>
      <c r="D44" s="217">
        <f aca="true" t="shared" si="8" ref="D44:S44">SUM(D30:D43)</f>
        <v>0</v>
      </c>
      <c r="E44" s="217">
        <f t="shared" si="8"/>
        <v>0</v>
      </c>
      <c r="F44" s="217"/>
      <c r="G44" s="217">
        <f t="shared" si="8"/>
        <v>0</v>
      </c>
      <c r="H44" s="217">
        <f t="shared" si="8"/>
        <v>0</v>
      </c>
      <c r="I44" s="217"/>
      <c r="J44" s="217">
        <f t="shared" si="8"/>
        <v>0</v>
      </c>
      <c r="K44" s="217">
        <f t="shared" si="8"/>
        <v>0</v>
      </c>
      <c r="L44" s="217"/>
      <c r="M44" s="217">
        <f t="shared" si="8"/>
        <v>0</v>
      </c>
      <c r="N44" s="217">
        <f t="shared" si="8"/>
        <v>0</v>
      </c>
      <c r="O44" s="217"/>
      <c r="P44" s="217">
        <f t="shared" si="8"/>
        <v>0</v>
      </c>
      <c r="Q44" s="217">
        <f t="shared" si="8"/>
        <v>0</v>
      </c>
      <c r="R44" s="217">
        <f t="shared" si="8"/>
        <v>0</v>
      </c>
      <c r="S44" s="217">
        <f t="shared" si="8"/>
        <v>0</v>
      </c>
      <c r="T44" s="218">
        <f>SUM(T30:T43)</f>
        <v>0</v>
      </c>
    </row>
    <row r="45" spans="1:20" s="211" customFormat="1" ht="24.75" customHeight="1" hidden="1">
      <c r="A45" s="509" t="s">
        <v>379</v>
      </c>
      <c r="B45" s="512" t="s">
        <v>435</v>
      </c>
      <c r="C45" s="207" t="s">
        <v>420</v>
      </c>
      <c r="D45" s="208">
        <f>COUNTIF('様式4'!$AI$4:$AI$303,"1貨1")</f>
        <v>0</v>
      </c>
      <c r="E45" s="208">
        <f>COUNTIF('様式4'!$AO$4:$AO$303,"1貨12002")</f>
        <v>0</v>
      </c>
      <c r="F45" s="208" t="str">
        <f>IF(E45&gt;0,ROUND(SUMIF('様式4'!$AO$4:$AO$303,"=1貨12002",'様式4'!$AP$4:$AP$303)/E45,0)," ")</f>
        <v> </v>
      </c>
      <c r="G45" s="208">
        <f>COUNTIF('様式4'!$AR$4:$AR$303,"1貨12002")</f>
        <v>0</v>
      </c>
      <c r="H45" s="208">
        <f>COUNTIF('様式4'!$AO$4:$AO$303,"1貨12003")</f>
        <v>0</v>
      </c>
      <c r="I45" s="208" t="str">
        <f>IF(H45&gt;0,ROUND(SUMIF('様式4'!$AO$4:$AO$303,"=1貨12003",'様式4'!$AP$4:$AP$303)/H45,0)," ")</f>
        <v> </v>
      </c>
      <c r="J45" s="208">
        <f>COUNTIF('様式4'!$AR$4:$AR$303,"1貨12003")</f>
        <v>0</v>
      </c>
      <c r="K45" s="208">
        <f>COUNTIF('様式4'!$AO$4:$AO$303,"1貨12004")</f>
        <v>0</v>
      </c>
      <c r="L45" s="208" t="str">
        <f>IF(K45&gt;0,ROUND(SUMIF('様式4'!$AO$4:$AO$303,"=1貨12004",'様式4'!$AP$4:$AP$303)/K45,0)," ")</f>
        <v> </v>
      </c>
      <c r="M45" s="208">
        <f>COUNTIF('様式4'!$AR$4:$AR$303,"1貨12004")</f>
        <v>0</v>
      </c>
      <c r="N45" s="208">
        <f>COUNTIF('様式4'!$AO$4:$AO$303,"1貨12005")</f>
        <v>0</v>
      </c>
      <c r="O45" s="208" t="str">
        <f>IF(N45&gt;0,ROUND(SUMIF('様式4'!$AO$4:$AO$303,"=1貨12005",'様式4'!$AP$4:$AP$303)/N45,0)," ")</f>
        <v> </v>
      </c>
      <c r="P45" s="208">
        <f>COUNTIF('様式4'!$AR$4:$AR$303,"1貨12005")</f>
        <v>0</v>
      </c>
      <c r="Q45" s="209">
        <f>COUNTIF('様式4'!$AR$4:$AR$303,"1貨1")-COUNTIF('様式4'!$AO$4:$AO$303,"1貨1")+'計算シート'!D21</f>
        <v>0</v>
      </c>
      <c r="R45" s="209">
        <f>E45+H45+K45+N45</f>
        <v>0</v>
      </c>
      <c r="S45" s="209">
        <f>G45+J45+M45+P45</f>
        <v>0</v>
      </c>
      <c r="T45" s="210">
        <f>D45+Q45-R45+S45</f>
        <v>0</v>
      </c>
    </row>
    <row r="46" spans="1:20" s="211" customFormat="1" ht="24.75" customHeight="1" hidden="1">
      <c r="A46" s="507"/>
      <c r="B46" s="513"/>
      <c r="C46" s="201" t="s">
        <v>320</v>
      </c>
      <c r="D46" s="202">
        <f>COUNTIF('様式4'!$AI$4:$AI$303,"2貨1")</f>
        <v>0</v>
      </c>
      <c r="E46" s="202">
        <f>COUNTIF('様式4'!$AO$4:$AO$303,"2貨12002")</f>
        <v>0</v>
      </c>
      <c r="F46" s="202" t="str">
        <f>IF(E46&gt;0,ROUND(SUMIF('様式4'!$AO$4:$AO$303,"=2貨12002",'様式4'!$AP$4:$AP$303)/E46,0)," ")</f>
        <v> </v>
      </c>
      <c r="G46" s="202">
        <f>COUNTIF('様式4'!$AR$4:$AR$303,"2貨12002")</f>
        <v>0</v>
      </c>
      <c r="H46" s="202">
        <f>COUNTIF('様式4'!$AO$4:$AO$303,"2貨12003")</f>
        <v>0</v>
      </c>
      <c r="I46" s="202" t="str">
        <f>IF(H46&gt;0,ROUND(SUMIF('様式4'!$AO$4:$AO$303,"=2貨12003",'様式4'!$AP$4:$AP$303)/H46,0)," ")</f>
        <v> </v>
      </c>
      <c r="J46" s="202">
        <f>COUNTIF('様式4'!$AR$4:$AR$303,"2貨12003")</f>
        <v>0</v>
      </c>
      <c r="K46" s="202">
        <f>COUNTIF('様式4'!$AO$4:$AO$303,"2貨12004")</f>
        <v>0</v>
      </c>
      <c r="L46" s="202" t="str">
        <f>IF(K46&gt;0,ROUND(SUMIF('様式4'!$AO$4:$AO$303,"=2貨12004",'様式4'!$AP$4:$AP$303)/K46,0)," ")</f>
        <v> </v>
      </c>
      <c r="M46" s="202">
        <f>COUNTIF('様式4'!$AR$4:$AR$303,"2貨12004")</f>
        <v>0</v>
      </c>
      <c r="N46" s="202">
        <f>COUNTIF('様式4'!$AO$4:$AO$303,"2貨12005")</f>
        <v>0</v>
      </c>
      <c r="O46" s="202" t="str">
        <f>IF(N46&gt;0,ROUND(SUMIF('様式4'!$AO$4:$AO$303,"=2貨12005",'様式4'!$AP$4:$AP$303)/N46,0)," ")</f>
        <v> </v>
      </c>
      <c r="P46" s="202">
        <f>COUNTIF('様式4'!$AR$4:$AR$303,"2貨12005")</f>
        <v>0</v>
      </c>
      <c r="Q46" s="212">
        <f>COUNTIF('様式4'!$AR$4:$AR$303,"2貨1")-COUNTIF('様式4'!$AO$4:$AO$303,"2貨1")+'計算シート'!E21</f>
        <v>0</v>
      </c>
      <c r="R46" s="212">
        <f aca="true" t="shared" si="9" ref="R46:R57">E46+H46+K46+N46</f>
        <v>0</v>
      </c>
      <c r="S46" s="212">
        <f aca="true" t="shared" si="10" ref="S46:S57">G46+J46+M46+P46</f>
        <v>0</v>
      </c>
      <c r="T46" s="203">
        <f aca="true" t="shared" si="11" ref="T46:T57">D46+Q46-R46+S46</f>
        <v>0</v>
      </c>
    </row>
    <row r="47" spans="1:20" s="211" customFormat="1" ht="24.75" customHeight="1" hidden="1">
      <c r="A47" s="507"/>
      <c r="B47" s="513"/>
      <c r="C47" s="201" t="s">
        <v>27</v>
      </c>
      <c r="D47" s="202">
        <f>COUNTIF('様式4'!$AI$4:$AI$303,"3貨1")</f>
        <v>0</v>
      </c>
      <c r="E47" s="202">
        <f>COUNTIF('様式4'!$AO$4:$AO$303,"3貨12002")</f>
        <v>0</v>
      </c>
      <c r="F47" s="202" t="str">
        <f>IF(E47&gt;0,ROUND(SUMIF('様式4'!$AO$4:$AO$303,"=3貨12002",'様式4'!$AP$4:$AP$303)/E47,0)," ")</f>
        <v> </v>
      </c>
      <c r="G47" s="202">
        <f>COUNTIF('様式4'!$AR$4:$AR$303,"3貨12002")</f>
        <v>0</v>
      </c>
      <c r="H47" s="202">
        <f>COUNTIF('様式4'!$AO$4:$AO$303,"3貨12003")</f>
        <v>0</v>
      </c>
      <c r="I47" s="202" t="str">
        <f>IF(H47&gt;0,ROUND(SUMIF('様式4'!$AO$4:$AO$303,"=3貨12003",'様式4'!$AP$4:$AP$303)/H47,0)," ")</f>
        <v> </v>
      </c>
      <c r="J47" s="202">
        <f>COUNTIF('様式4'!$AR$4:$AR$303,"3貨12003")</f>
        <v>0</v>
      </c>
      <c r="K47" s="202">
        <f>COUNTIF('様式4'!$AO$4:$AO$303,"3貨12004")</f>
        <v>0</v>
      </c>
      <c r="L47" s="202" t="str">
        <f>IF(K47&gt;0,ROUND(SUMIF('様式4'!$AO$4:$AO$303,"=3貨12004",'様式4'!$AP$4:$AP$303)/K47,0)," ")</f>
        <v> </v>
      </c>
      <c r="M47" s="202">
        <f>COUNTIF('様式4'!$AR$4:$AR$303,"3貨12004")</f>
        <v>0</v>
      </c>
      <c r="N47" s="202">
        <f>COUNTIF('様式4'!$AO$4:$AO$303,"3貨12005")</f>
        <v>0</v>
      </c>
      <c r="O47" s="202" t="str">
        <f>IF(N47&gt;0,ROUND(SUMIF('様式4'!$AO$4:$AO$303,"=3貨12005",'様式4'!$AP$4:$AP$303)/N47,0)," ")</f>
        <v> </v>
      </c>
      <c r="P47" s="202">
        <f>COUNTIF('様式4'!$AR$4:$AR$303,"3貨12005")</f>
        <v>0</v>
      </c>
      <c r="Q47" s="212">
        <f>COUNTIF('様式4'!$AR$4:$AR$303,"3貨1")-COUNTIF('様式4'!$AO$4:$AO$303,"3貨1")+'計算シート'!F21</f>
        <v>0</v>
      </c>
      <c r="R47" s="212">
        <f t="shared" si="9"/>
        <v>0</v>
      </c>
      <c r="S47" s="212">
        <f t="shared" si="10"/>
        <v>0</v>
      </c>
      <c r="T47" s="203">
        <f t="shared" si="11"/>
        <v>0</v>
      </c>
    </row>
    <row r="48" spans="1:20" s="211" customFormat="1" ht="24.75" customHeight="1" hidden="1">
      <c r="A48" s="507"/>
      <c r="B48" s="513"/>
      <c r="C48" s="201" t="s">
        <v>419</v>
      </c>
      <c r="D48" s="202">
        <f>COUNTIF('様式4'!$AI$4:$AI$303,"4貨1")</f>
        <v>0</v>
      </c>
      <c r="E48" s="202">
        <f>COUNTIF('様式4'!$AO$4:$AO$303,"4貨12002")</f>
        <v>0</v>
      </c>
      <c r="F48" s="202" t="str">
        <f>IF(E48&gt;0,ROUND(SUMIF('様式4'!$AO$4:$AO$303,"=4貨12002",'様式4'!$AP$4:$AP$303)/E48,0)," ")</f>
        <v> </v>
      </c>
      <c r="G48" s="202">
        <f>COUNTIF('様式4'!$AR$4:$AR$303,"4貨12002")</f>
        <v>0</v>
      </c>
      <c r="H48" s="202">
        <f>COUNTIF('様式4'!$AO$4:$AO$303,"4貨12003")</f>
        <v>0</v>
      </c>
      <c r="I48" s="202" t="str">
        <f>IF(H48&gt;0,ROUND(SUMIF('様式4'!$AO$4:$AO$303,"=4貨12003",'様式4'!$AP$4:$AP$303)/H48,0)," ")</f>
        <v> </v>
      </c>
      <c r="J48" s="202">
        <f>COUNTIF('様式4'!$AR$4:$AR$303,"4貨12003")</f>
        <v>0</v>
      </c>
      <c r="K48" s="202">
        <f>COUNTIF('様式4'!$AO$4:$AO$303,"4貨12004")</f>
        <v>0</v>
      </c>
      <c r="L48" s="202" t="str">
        <f>IF(K48&gt;0,ROUND(SUMIF('様式4'!$AO$4:$AO$303,"=4貨12004",'様式4'!$AP$4:$AP$303)/K48,0)," ")</f>
        <v> </v>
      </c>
      <c r="M48" s="202">
        <f>COUNTIF('様式4'!$AR$4:$AR$303,"4貨12004")</f>
        <v>0</v>
      </c>
      <c r="N48" s="202">
        <f>COUNTIF('様式4'!$AO$4:$AO$303,"4貨12005")</f>
        <v>0</v>
      </c>
      <c r="O48" s="202" t="str">
        <f>IF(N48&gt;0,ROUND(SUMIF('様式4'!$AO$4:$AO$303,"=4貨12005",'様式4'!$AP$4:$AP$303)/N48,0)," ")</f>
        <v> </v>
      </c>
      <c r="P48" s="202">
        <f>COUNTIF('様式4'!$AR$4:$AR$303,"4貨12005")</f>
        <v>0</v>
      </c>
      <c r="Q48" s="212">
        <f>COUNTIF('様式4'!$AR$4:$AR$303,"4貨1")-COUNTIF('様式4'!$AO$4:$AO$303,"4貨1")+'計算シート'!G21</f>
        <v>0</v>
      </c>
      <c r="R48" s="212">
        <f t="shared" si="9"/>
        <v>0</v>
      </c>
      <c r="S48" s="212">
        <f t="shared" si="10"/>
        <v>0</v>
      </c>
      <c r="T48" s="203">
        <f t="shared" si="11"/>
        <v>0</v>
      </c>
    </row>
    <row r="49" spans="1:20" s="211" customFormat="1" ht="24.75" customHeight="1" hidden="1">
      <c r="A49" s="507"/>
      <c r="B49" s="514"/>
      <c r="C49" s="201" t="s">
        <v>429</v>
      </c>
      <c r="D49" s="202">
        <f>COUNTIF('様式4'!$AI$4:$AI$303,"5貨1")</f>
        <v>0</v>
      </c>
      <c r="E49" s="202">
        <f>COUNTIF('様式4'!$AO$4:$AO$303,"5貨12002")</f>
        <v>0</v>
      </c>
      <c r="F49" s="202" t="str">
        <f>IF(E49&gt;0,ROUND(SUMIF('様式4'!$AO$4:$AO$303,"=5貨12002",'様式4'!$AP$4:$AP$303)/E49,0)," ")</f>
        <v> </v>
      </c>
      <c r="G49" s="202">
        <f>COUNTIF('様式4'!$AR$4:$AR$303,"5貨12002")</f>
        <v>0</v>
      </c>
      <c r="H49" s="202">
        <f>COUNTIF('様式4'!$AO$4:$AO$303,"5貨12003")</f>
        <v>0</v>
      </c>
      <c r="I49" s="202" t="str">
        <f>IF(H49&gt;0,ROUND(SUMIF('様式4'!$AO$4:$AO$303,"=5貨12003",'様式4'!$AP$4:$AP$303)/H49,0)," ")</f>
        <v> </v>
      </c>
      <c r="J49" s="202">
        <f>COUNTIF('様式4'!$AR$4:$AR$303,"5貨12003")</f>
        <v>0</v>
      </c>
      <c r="K49" s="202">
        <f>COUNTIF('様式4'!$AO$4:$AO$303,"5貨12004")</f>
        <v>0</v>
      </c>
      <c r="L49" s="202" t="str">
        <f>IF(K49&gt;0,ROUND(SUMIF('様式4'!$AO$4:$AO$303,"=5貨12004",'様式4'!$AP$4:$AP$303)/K49,0)," ")</f>
        <v> </v>
      </c>
      <c r="M49" s="202">
        <f>COUNTIF('様式4'!$AR$4:$AR$303,"5貨12004")</f>
        <v>0</v>
      </c>
      <c r="N49" s="202">
        <f>COUNTIF('様式4'!$AO$4:$AO$303,"5貨12005")</f>
        <v>0</v>
      </c>
      <c r="O49" s="202" t="str">
        <f>IF(N49&gt;0,ROUND(SUMIF('様式4'!$AO$4:$AO$303,"=5貨12005",'様式4'!$AP$4:$AP$303)/N49,0)," ")</f>
        <v> </v>
      </c>
      <c r="P49" s="202">
        <f>COUNTIF('様式4'!$AR$4:$AR$303,"5貨12005")</f>
        <v>0</v>
      </c>
      <c r="Q49" s="212">
        <f>COUNTIF('様式4'!$AR$4:$AR$303,"5貨1")-COUNTIF('様式4'!$AO$4:$AO$303,"5貨1")+'計算シート'!H21</f>
        <v>0</v>
      </c>
      <c r="R49" s="212">
        <f t="shared" si="9"/>
        <v>0</v>
      </c>
      <c r="S49" s="212">
        <f t="shared" si="10"/>
        <v>0</v>
      </c>
      <c r="T49" s="203">
        <f t="shared" si="11"/>
        <v>0</v>
      </c>
    </row>
    <row r="50" spans="1:20" s="211" customFormat="1" ht="24.75" customHeight="1" hidden="1">
      <c r="A50" s="507"/>
      <c r="B50" s="515" t="s">
        <v>47</v>
      </c>
      <c r="C50" s="258" t="s">
        <v>7</v>
      </c>
      <c r="D50" s="202">
        <f>COUNTIF('様式4'!$AI$4:$AI$303,"6貨1")</f>
        <v>0</v>
      </c>
      <c r="E50" s="202">
        <f>COUNTIF('様式4'!$AO$4:$AO$303,"6貨12002")</f>
        <v>0</v>
      </c>
      <c r="F50" s="202" t="str">
        <f>IF(E50&gt;0,ROUND(SUMIF('様式4'!$AO$4:$AO$303,"=6貨12002",'様式4'!$AP$4:$AP$303)/E50,0)," ")</f>
        <v> </v>
      </c>
      <c r="G50" s="202">
        <f>COUNTIF('様式4'!$AR$4:$AR$303,"6貨12002")</f>
        <v>0</v>
      </c>
      <c r="H50" s="202">
        <f>COUNTIF('様式4'!$AO$4:$AO$303,"6貨12003")</f>
        <v>0</v>
      </c>
      <c r="I50" s="202" t="str">
        <f>IF(H50&gt;0,ROUND(SUMIF('様式4'!$AO$4:$AO$303,"=6貨12003",'様式4'!$AP$4:$AP$303)/H50,0)," ")</f>
        <v> </v>
      </c>
      <c r="J50" s="202">
        <f>COUNTIF('様式4'!$AR$4:$AR$303,"6貨12003")</f>
        <v>0</v>
      </c>
      <c r="K50" s="202">
        <f>COUNTIF('様式4'!$AO$4:$AO$303,"6貨12004")</f>
        <v>0</v>
      </c>
      <c r="L50" s="202" t="str">
        <f>IF(K50&gt;0,ROUND(SUMIF('様式4'!$AO$4:$AO$303,"=6貨12004",'様式4'!$AP$4:$AP$303)/K50,0)," ")</f>
        <v> </v>
      </c>
      <c r="M50" s="202">
        <f>COUNTIF('様式4'!$AR$4:$AR$303,"6貨12004")</f>
        <v>0</v>
      </c>
      <c r="N50" s="202">
        <f>COUNTIF('様式4'!$AO$4:$AO$303,"6貨12005")</f>
        <v>0</v>
      </c>
      <c r="O50" s="202" t="str">
        <f>IF(N50&gt;0,ROUND(SUMIF('様式4'!$AO$4:$AO$303,"=6貨12005",'様式4'!$AP$4:$AP$303)/N50,0)," ")</f>
        <v> </v>
      </c>
      <c r="P50" s="202">
        <f>COUNTIF('様式4'!$AR$4:$AR$303,"6貨12005")</f>
        <v>0</v>
      </c>
      <c r="Q50" s="212">
        <f>COUNTIF('様式4'!$AR$4:$AR$303,"6貨1")-COUNTIF('様式4'!$AO$4:$AO$303,"6貨1")+'計算シート'!I21</f>
        <v>0</v>
      </c>
      <c r="R50" s="212">
        <f t="shared" si="9"/>
        <v>0</v>
      </c>
      <c r="S50" s="212">
        <f t="shared" si="10"/>
        <v>0</v>
      </c>
      <c r="T50" s="203">
        <f t="shared" si="11"/>
        <v>0</v>
      </c>
    </row>
    <row r="51" spans="1:20" s="211" customFormat="1" ht="24.75" customHeight="1" hidden="1">
      <c r="A51" s="507"/>
      <c r="B51" s="513"/>
      <c r="C51" s="258" t="s">
        <v>8</v>
      </c>
      <c r="D51" s="202">
        <f>COUNTIF('様式4'!$AI$4:$AI$303,"7貨1")</f>
        <v>0</v>
      </c>
      <c r="E51" s="202">
        <f>COUNTIF('様式4'!$AO$4:$AO$303,"7貨12002")</f>
        <v>0</v>
      </c>
      <c r="F51" s="202" t="str">
        <f>IF(E51&gt;0,ROUND(SUMIF('様式4'!$AO$4:$AO$303,"=7貨12002",'様式4'!$AP$4:$AP$303)/E51,0)," ")</f>
        <v> </v>
      </c>
      <c r="G51" s="202">
        <f>COUNTIF('様式4'!$AR$4:$AR$303,"7貨12002")</f>
        <v>0</v>
      </c>
      <c r="H51" s="202">
        <f>COUNTIF('様式4'!$AO$4:$AO$303,"7貨12003")</f>
        <v>0</v>
      </c>
      <c r="I51" s="202" t="str">
        <f>IF(H51&gt;0,ROUND(SUMIF('様式4'!$AO$4:$AO$303,"=7貨12003",'様式4'!$AP$4:$AP$303)/H51,0)," ")</f>
        <v> </v>
      </c>
      <c r="J51" s="202">
        <f>COUNTIF('様式4'!$AR$4:$AR$303,"7貨12003")</f>
        <v>0</v>
      </c>
      <c r="K51" s="202">
        <f>COUNTIF('様式4'!$AO$4:$AO$303,"7貨12004")</f>
        <v>0</v>
      </c>
      <c r="L51" s="202" t="str">
        <f>IF(K51&gt;0,ROUND(SUMIF('様式4'!$AO$4:$AO$303,"=7貨12004",'様式4'!$AP$4:$AP$303)/K51,0)," ")</f>
        <v> </v>
      </c>
      <c r="M51" s="202">
        <f>COUNTIF('様式4'!$AR$4:$AR$303,"7貨12004")</f>
        <v>0</v>
      </c>
      <c r="N51" s="202">
        <f>COUNTIF('様式4'!$AO$4:$AO$303,"7貨12005")</f>
        <v>0</v>
      </c>
      <c r="O51" s="202" t="str">
        <f>IF(N51&gt;0,ROUND(SUMIF('様式4'!$AO$4:$AO$303,"=7貨12005",'様式4'!$AP$4:$AP$303)/N51,0)," ")</f>
        <v> </v>
      </c>
      <c r="P51" s="202">
        <f>COUNTIF('様式4'!$AR$4:$AR$303,"7貨12005")</f>
        <v>0</v>
      </c>
      <c r="Q51" s="212">
        <f>COUNTIF('様式4'!$AR$4:$AR$303,"7貨1")-COUNTIF('様式4'!$AO$4:$AO$303,"7貨1")+'計算シート'!J21</f>
        <v>0</v>
      </c>
      <c r="R51" s="212">
        <f t="shared" si="9"/>
        <v>0</v>
      </c>
      <c r="S51" s="212">
        <f t="shared" si="10"/>
        <v>0</v>
      </c>
      <c r="T51" s="203">
        <f t="shared" si="11"/>
        <v>0</v>
      </c>
    </row>
    <row r="52" spans="1:20" s="211" customFormat="1" ht="24.75" customHeight="1" hidden="1">
      <c r="A52" s="507"/>
      <c r="B52" s="513"/>
      <c r="C52" s="258" t="s">
        <v>9</v>
      </c>
      <c r="D52" s="202">
        <f>COUNTIF('様式4'!$AI$4:$AI$303,"8貨1")</f>
        <v>0</v>
      </c>
      <c r="E52" s="202">
        <f>COUNTIF('様式4'!$AO$4:$AO$303,"8貨12002")</f>
        <v>0</v>
      </c>
      <c r="F52" s="202" t="str">
        <f>IF(E52&gt;0,ROUND(SUMIF('様式4'!$AO$4:$AO$303,"=8貨12002",'様式4'!$AP$4:$AP$303)/E52,0)," ")</f>
        <v> </v>
      </c>
      <c r="G52" s="202">
        <f>COUNTIF('様式4'!$AR$4:$AR$303,"8貨12002")</f>
        <v>0</v>
      </c>
      <c r="H52" s="202">
        <f>COUNTIF('様式4'!$AO$4:$AO$303,"8貨12003")</f>
        <v>0</v>
      </c>
      <c r="I52" s="202" t="str">
        <f>IF(H52&gt;0,ROUND(SUMIF('様式4'!$AO$4:$AO$303,"=8貨12003",'様式4'!$AP$4:$AP$303)/H52,0)," ")</f>
        <v> </v>
      </c>
      <c r="J52" s="202">
        <f>COUNTIF('様式4'!$AR$4:$AR$303,"8貨12003")</f>
        <v>0</v>
      </c>
      <c r="K52" s="202">
        <f>COUNTIF('様式4'!$AO$4:$AO$303,"8貨12004")</f>
        <v>0</v>
      </c>
      <c r="L52" s="202" t="str">
        <f>IF(K52&gt;0,ROUND(SUMIF('様式4'!$AO$4:$AO$303,"=8貨12004",'様式4'!$AP$4:$AP$303)/K52,0)," ")</f>
        <v> </v>
      </c>
      <c r="M52" s="202">
        <f>COUNTIF('様式4'!$AR$4:$AR$303,"8貨12004")</f>
        <v>0</v>
      </c>
      <c r="N52" s="202">
        <f>COUNTIF('様式4'!$AO$4:$AO$303,"8貨12005")</f>
        <v>0</v>
      </c>
      <c r="O52" s="202" t="str">
        <f>IF(N52&gt;0,ROUND(SUMIF('様式4'!$AO$4:$AO$303,"=8貨12005",'様式4'!$AP$4:$AP$303)/N52,0)," ")</f>
        <v> </v>
      </c>
      <c r="P52" s="202">
        <f>COUNTIF('様式4'!$AR$4:$AR$303,"8貨12005")</f>
        <v>0</v>
      </c>
      <c r="Q52" s="212">
        <f>COUNTIF('様式4'!$AR$4:$AR$303,"8貨1")-COUNTIF('様式4'!$AO$4:$AO$303,"8貨1")+'計算シート'!K21</f>
        <v>0</v>
      </c>
      <c r="R52" s="212">
        <f t="shared" si="9"/>
        <v>0</v>
      </c>
      <c r="S52" s="212">
        <f t="shared" si="10"/>
        <v>0</v>
      </c>
      <c r="T52" s="203">
        <f t="shared" si="11"/>
        <v>0</v>
      </c>
    </row>
    <row r="53" spans="1:20" s="211" customFormat="1" ht="24.75" customHeight="1" hidden="1">
      <c r="A53" s="507"/>
      <c r="B53" s="513"/>
      <c r="C53" s="258" t="s">
        <v>10</v>
      </c>
      <c r="D53" s="202">
        <f>COUNTIF('様式4'!$AI$4:$AI$303,"9貨1")</f>
        <v>0</v>
      </c>
      <c r="E53" s="202">
        <f>COUNTIF('様式4'!$AO$4:$AO$303,"9貨12002")</f>
        <v>0</v>
      </c>
      <c r="F53" s="202" t="str">
        <f>IF(E53&gt;0,ROUND(SUMIF('様式4'!$AO$4:$AO$303,"=9貨12002",'様式4'!$AP$4:$AP$303)/E53,0)," ")</f>
        <v> </v>
      </c>
      <c r="G53" s="202">
        <f>COUNTIF('様式4'!$AR$4:$AR$303,"9貨12002")</f>
        <v>0</v>
      </c>
      <c r="H53" s="202">
        <f>COUNTIF('様式4'!$AO$4:$AO$303,"9貨12003")</f>
        <v>0</v>
      </c>
      <c r="I53" s="202" t="str">
        <f>IF(H53&gt;0,ROUND(SUMIF('様式4'!$AO$4:$AO$303,"=9貨12003",'様式4'!$AP$4:$AP$303)/H53,0)," ")</f>
        <v> </v>
      </c>
      <c r="J53" s="202">
        <f>COUNTIF('様式4'!$AR$4:$AR$303,"9貨12003")</f>
        <v>0</v>
      </c>
      <c r="K53" s="202">
        <f>COUNTIF('様式4'!$AO$4:$AO$303,"9貨12004")</f>
        <v>0</v>
      </c>
      <c r="L53" s="202" t="str">
        <f>IF(K53&gt;0,ROUND(SUMIF('様式4'!$AO$4:$AO$303,"=9貨12004",'様式4'!$AP$4:$AP$303)/K53,0)," ")</f>
        <v> </v>
      </c>
      <c r="M53" s="202">
        <f>COUNTIF('様式4'!$AR$4:$AR$303,"9貨12004")</f>
        <v>0</v>
      </c>
      <c r="N53" s="202">
        <f>COUNTIF('様式4'!$AO$4:$AO$303,"9貨12005")</f>
        <v>0</v>
      </c>
      <c r="O53" s="202" t="str">
        <f>IF(N53&gt;0,ROUND(SUMIF('様式4'!$AO$4:$AO$303,"=9貨12005",'様式4'!$AP$4:$AP$303)/N53,0)," ")</f>
        <v> </v>
      </c>
      <c r="P53" s="202">
        <f>COUNTIF('様式4'!$AR$4:$AR$303,"9貨12005")</f>
        <v>0</v>
      </c>
      <c r="Q53" s="212">
        <f>COUNTIF('様式4'!$AR$4:$AR$303,"9貨1")-COUNTIF('様式4'!$AO$4:$AO$303,"9貨1")+'計算シート'!L21</f>
        <v>0</v>
      </c>
      <c r="R53" s="212">
        <f t="shared" si="9"/>
        <v>0</v>
      </c>
      <c r="S53" s="212">
        <f t="shared" si="10"/>
        <v>0</v>
      </c>
      <c r="T53" s="203">
        <f t="shared" si="11"/>
        <v>0</v>
      </c>
    </row>
    <row r="54" spans="1:20" s="211" customFormat="1" ht="24.75" customHeight="1" hidden="1">
      <c r="A54" s="507"/>
      <c r="B54" s="513"/>
      <c r="C54" s="258" t="s">
        <v>416</v>
      </c>
      <c r="D54" s="202">
        <f>COUNTIF('様式4'!$AI$4:$AI$303,"10貨1")</f>
        <v>0</v>
      </c>
      <c r="E54" s="202">
        <f>COUNTIF('様式4'!$AO$4:$AO$303,"10貨12002")</f>
        <v>0</v>
      </c>
      <c r="F54" s="202" t="str">
        <f>IF(E54&gt;0,ROUND(SUMIF('様式4'!$AO$4:$AO$303,"=10貨12002",'様式4'!$AP$4:$AP$303)/E54,0)," ")</f>
        <v> </v>
      </c>
      <c r="G54" s="202">
        <f>COUNTIF('様式4'!$AR$4:$AR$303,"10貨12002")</f>
        <v>0</v>
      </c>
      <c r="H54" s="202">
        <f>COUNTIF('様式4'!$AO$4:$AO$303,"10貨12003")</f>
        <v>0</v>
      </c>
      <c r="I54" s="202" t="str">
        <f>IF(H54&gt;0,ROUND(SUMIF('様式4'!$AO$4:$AO$303,"=10貨12003",'様式4'!$AP$4:$AP$303)/H54,0)," ")</f>
        <v> </v>
      </c>
      <c r="J54" s="202">
        <f>COUNTIF('様式4'!$AR$4:$AR$303,"10貨12003")</f>
        <v>0</v>
      </c>
      <c r="K54" s="202">
        <f>COUNTIF('様式4'!$AO$4:$AO$303,"10貨12004")</f>
        <v>0</v>
      </c>
      <c r="L54" s="202" t="str">
        <f>IF(K54&gt;0,ROUND(SUMIF('様式4'!$AO$4:$AO$303,"=10貨12004",'様式4'!$AP$4:$AP$303)/K54,0)," ")</f>
        <v> </v>
      </c>
      <c r="M54" s="202">
        <f>COUNTIF('様式4'!$AR$4:$AR$303,"10貨12004")</f>
        <v>0</v>
      </c>
      <c r="N54" s="202">
        <f>COUNTIF('様式4'!$AO$4:$AO$303,"10貨12005")</f>
        <v>0</v>
      </c>
      <c r="O54" s="202" t="str">
        <f>IF(N54&gt;0,ROUND(SUMIF('様式4'!$AO$4:$AO$303,"=10貨12005",'様式4'!$AP$4:$AP$303)/N54,0)," ")</f>
        <v> </v>
      </c>
      <c r="P54" s="202">
        <f>COUNTIF('様式4'!$AR$4:$AR$303,"10貨12005")</f>
        <v>0</v>
      </c>
      <c r="Q54" s="212">
        <f>COUNTIF('様式4'!$AR$4:$AR$303,"10貨1")-COUNTIF('様式4'!$AO$4:$AO$303,"10貨1")+'計算シート'!M21</f>
        <v>0</v>
      </c>
      <c r="R54" s="212">
        <f t="shared" si="9"/>
        <v>0</v>
      </c>
      <c r="S54" s="212">
        <f t="shared" si="10"/>
        <v>0</v>
      </c>
      <c r="T54" s="203">
        <f t="shared" si="11"/>
        <v>0</v>
      </c>
    </row>
    <row r="55" spans="1:20" s="211" customFormat="1" ht="24.75" customHeight="1" hidden="1">
      <c r="A55" s="507"/>
      <c r="B55" s="514"/>
      <c r="C55" s="258" t="s">
        <v>11</v>
      </c>
      <c r="D55" s="202">
        <f>COUNTIF('様式4'!$AI$4:$AI$303,"11貨1")</f>
        <v>0</v>
      </c>
      <c r="E55" s="202">
        <f>COUNTIF('様式4'!$AO$4:$AO$303,"11貨12002")</f>
        <v>0</v>
      </c>
      <c r="F55" s="202" t="str">
        <f>IF(E55&gt;0,ROUND(SUMIF('様式4'!$AO$4:$AO$303,"=11貨12002",'様式4'!$AP$4:$AP$303)/E55,0)," ")</f>
        <v> </v>
      </c>
      <c r="G55" s="202">
        <f>COUNTIF('様式4'!$AR$4:$AR$303,"11貨12002")</f>
        <v>0</v>
      </c>
      <c r="H55" s="202">
        <f>COUNTIF('様式4'!$AO$4:$AO$303,"11貨12003")</f>
        <v>0</v>
      </c>
      <c r="I55" s="202" t="str">
        <f>IF(H55&gt;0,ROUND(SUMIF('様式4'!$AO$4:$AO$303,"=11貨12003",'様式4'!$AP$4:$AP$303)/H55,0)," ")</f>
        <v> </v>
      </c>
      <c r="J55" s="202">
        <f>COUNTIF('様式4'!$AR$4:$AR$303,"11貨12003")</f>
        <v>0</v>
      </c>
      <c r="K55" s="202">
        <f>COUNTIF('様式4'!$AO$4:$AO$303,"11貨12004")</f>
        <v>0</v>
      </c>
      <c r="L55" s="202" t="str">
        <f>IF(K55&gt;0,ROUND(SUMIF('様式4'!$AO$4:$AO$303,"=11貨12004",'様式4'!$AP$4:$AP$303)/K55,0)," ")</f>
        <v> </v>
      </c>
      <c r="M55" s="202">
        <f>COUNTIF('様式4'!$AR$4:$AR$303,"11貨12004")</f>
        <v>0</v>
      </c>
      <c r="N55" s="202">
        <f>COUNTIF('様式4'!$AO$4:$AO$303,"11貨12005")</f>
        <v>0</v>
      </c>
      <c r="O55" s="202" t="str">
        <f>IF(N55&gt;0,ROUND(SUMIF('様式4'!$AO$4:$AO$303,"=11貨12005",'様式4'!$AP$4:$AP$303)/N55,0)," ")</f>
        <v> </v>
      </c>
      <c r="P55" s="202">
        <f>COUNTIF('様式4'!$AR$4:$AR$303,"11貨12005")</f>
        <v>0</v>
      </c>
      <c r="Q55" s="212">
        <f>COUNTIF('様式4'!$AR$4:$AR$303,"11貨1")-COUNTIF('様式4'!$AO$4:$AO$303,"11貨1")+'計算シート'!N21</f>
        <v>0</v>
      </c>
      <c r="R55" s="212">
        <f t="shared" si="9"/>
        <v>0</v>
      </c>
      <c r="S55" s="212">
        <f t="shared" si="10"/>
        <v>0</v>
      </c>
      <c r="T55" s="203">
        <f t="shared" si="11"/>
        <v>0</v>
      </c>
    </row>
    <row r="56" spans="1:20" s="211" customFormat="1" ht="24.75" customHeight="1" hidden="1">
      <c r="A56" s="507"/>
      <c r="B56" s="515" t="s">
        <v>334</v>
      </c>
      <c r="C56" s="201" t="s">
        <v>407</v>
      </c>
      <c r="D56" s="202">
        <f>COUNTIF('様式4'!$AI$4:$AI$303,"12貨1")</f>
        <v>0</v>
      </c>
      <c r="E56" s="202">
        <f>COUNTIF('様式4'!$AO$4:$AO$303,"12貨12002")</f>
        <v>0</v>
      </c>
      <c r="F56" s="202" t="str">
        <f>IF(E56&gt;0,ROUND(SUMIF('様式4'!$AO$4:$AO$303,"=12貨12002",'様式4'!$AP$4:$AP$303)/E56,0)," ")</f>
        <v> </v>
      </c>
      <c r="G56" s="202">
        <f>COUNTIF('様式4'!$AR$4:$AR$303,"12貨12002")</f>
        <v>0</v>
      </c>
      <c r="H56" s="202">
        <f>COUNTIF('様式4'!$AO$4:$AO$303,"12貨12003")</f>
        <v>0</v>
      </c>
      <c r="I56" s="202" t="str">
        <f>IF(H56&gt;0,ROUND(SUMIF('様式4'!$AO$4:$AO$303,"=12貨12003",'様式4'!$AP$4:$AP$303)/H56,0)," ")</f>
        <v> </v>
      </c>
      <c r="J56" s="202">
        <f>COUNTIF('様式4'!$AR$4:$AR$303,"12貨12003")</f>
        <v>0</v>
      </c>
      <c r="K56" s="202">
        <f>COUNTIF('様式4'!$AO$4:$AO$303,"12貨12004")</f>
        <v>0</v>
      </c>
      <c r="L56" s="202" t="str">
        <f>IF(K56&gt;0,ROUND(SUMIF('様式4'!$AO$4:$AO$303,"=12貨12004",'様式4'!$AP$4:$AP$303)/K56,0)," ")</f>
        <v> </v>
      </c>
      <c r="M56" s="202">
        <f>COUNTIF('様式4'!$AR$4:$AR$303,"12貨12004")</f>
        <v>0</v>
      </c>
      <c r="N56" s="202">
        <f>COUNTIF('様式4'!$AO$4:$AO$303,"12貨12005")</f>
        <v>0</v>
      </c>
      <c r="O56" s="202" t="str">
        <f>IF(N56&gt;0,ROUND(SUMIF('様式4'!$AO$4:$AO$303,"=12貨12005",'様式4'!$AP$4:$AP$303)/N56,0)," ")</f>
        <v> </v>
      </c>
      <c r="P56" s="202">
        <f>COUNTIF('様式4'!$AR$4:$AR$303,"12貨12005")</f>
        <v>0</v>
      </c>
      <c r="Q56" s="212">
        <f>COUNTIF('様式4'!$AR$4:$AR$303,"12貨1")-COUNTIF('様式4'!$AO$4:$AO$303,"12貨1")+'計算シート'!O21</f>
        <v>0</v>
      </c>
      <c r="R56" s="212">
        <f t="shared" si="9"/>
        <v>0</v>
      </c>
      <c r="S56" s="212">
        <f t="shared" si="10"/>
        <v>0</v>
      </c>
      <c r="T56" s="203">
        <f t="shared" si="11"/>
        <v>0</v>
      </c>
    </row>
    <row r="57" spans="1:20" s="211" customFormat="1" ht="24.75" customHeight="1" hidden="1">
      <c r="A57" s="507"/>
      <c r="B57" s="514"/>
      <c r="C57" s="201" t="s">
        <v>408</v>
      </c>
      <c r="D57" s="202">
        <f>COUNTIF('様式4'!$AI$4:$AI$303,"13貨1")</f>
        <v>0</v>
      </c>
      <c r="E57" s="202">
        <f>COUNTIF('様式4'!$AO$4:$AO$303,"13貨12002")</f>
        <v>0</v>
      </c>
      <c r="F57" s="202" t="str">
        <f>IF(E57&gt;0,ROUND(SUMIF('様式4'!$AO$4:$AO$303,"=13貨12002",'様式4'!$AP$4:$AP$303)/E57,0)," ")</f>
        <v> </v>
      </c>
      <c r="G57" s="202">
        <f>COUNTIF('様式4'!$AR$4:$AR$303,"13貨12002")</f>
        <v>0</v>
      </c>
      <c r="H57" s="202">
        <f>COUNTIF('様式4'!$AO$4:$AO$303,"13貨12003")</f>
        <v>0</v>
      </c>
      <c r="I57" s="202" t="str">
        <f>IF(H57&gt;0,ROUND(SUMIF('様式4'!$AO$4:$AO$303,"=13貨12003",'様式4'!$AP$4:$AP$303)/H57,0)," ")</f>
        <v> </v>
      </c>
      <c r="J57" s="202">
        <f>COUNTIF('様式4'!$AR$4:$AR$303,"13貨12003")</f>
        <v>0</v>
      </c>
      <c r="K57" s="202">
        <f>COUNTIF('様式4'!$AO$4:$AO$303,"13貨12004")</f>
        <v>0</v>
      </c>
      <c r="L57" s="202" t="str">
        <f>IF(K57&gt;0,ROUND(SUMIF('様式4'!$AO$4:$AO$303,"=13貨12004",'様式4'!$AP$4:$AP$303)/K57,0)," ")</f>
        <v> </v>
      </c>
      <c r="M57" s="202">
        <f>COUNTIF('様式4'!$AR$4:$AR$303,"13貨12004")</f>
        <v>0</v>
      </c>
      <c r="N57" s="202">
        <f>COUNTIF('様式4'!$AO$4:$AO$303,"13貨12005")</f>
        <v>0</v>
      </c>
      <c r="O57" s="202" t="str">
        <f>IF(N57&gt;0,ROUND(SUMIF('様式4'!$AO$4:$AO$303,"=13貨12005",'様式4'!$AP$4:$AP$303)/N57,0)," ")</f>
        <v> </v>
      </c>
      <c r="P57" s="202">
        <f>COUNTIF('様式4'!$AR$4:$AR$303,"13貨12005")</f>
        <v>0</v>
      </c>
      <c r="Q57" s="212">
        <f>COUNTIF('様式4'!$AR$4:$AR$303,"13貨1")-COUNTIF('様式4'!$AO$4:$AO$303,"13貨1")+'計算シート'!P21</f>
        <v>0</v>
      </c>
      <c r="R57" s="212">
        <f t="shared" si="9"/>
        <v>0</v>
      </c>
      <c r="S57" s="212">
        <f t="shared" si="10"/>
        <v>0</v>
      </c>
      <c r="T57" s="203">
        <f t="shared" si="11"/>
        <v>0</v>
      </c>
    </row>
    <row r="58" spans="1:20" s="211" customFormat="1" ht="24.75" customHeight="1" hidden="1">
      <c r="A58" s="507"/>
      <c r="B58" s="213"/>
      <c r="C58" s="68" t="s">
        <v>432</v>
      </c>
      <c r="D58" s="214"/>
      <c r="E58" s="214"/>
      <c r="F58" s="214"/>
      <c r="G58" s="202">
        <f>COUNTIF('様式4'!$AR$4:$AR$303,"貨12002")</f>
        <v>0</v>
      </c>
      <c r="H58" s="214"/>
      <c r="I58" s="214"/>
      <c r="J58" s="202">
        <f>COUNTIF('様式4'!$AR$4:$AR$303,"貨12003")</f>
        <v>0</v>
      </c>
      <c r="K58" s="214"/>
      <c r="L58" s="214"/>
      <c r="M58" s="202">
        <f>COUNTIF('様式4'!$AR$4:$AR$303,"貨12004")</f>
        <v>0</v>
      </c>
      <c r="N58" s="214"/>
      <c r="O58" s="214"/>
      <c r="P58" s="202">
        <f>COUNTIF('様式4'!$AR$4:$AR$303,"貨12005")</f>
        <v>0</v>
      </c>
      <c r="Q58" s="212">
        <f>'計算シート'!S21</f>
        <v>0</v>
      </c>
      <c r="R58" s="215"/>
      <c r="S58" s="212"/>
      <c r="T58" s="203">
        <f>Q58</f>
        <v>0</v>
      </c>
    </row>
    <row r="59" spans="1:20" s="211" customFormat="1" ht="24.75" customHeight="1" hidden="1" thickBot="1">
      <c r="A59" s="508"/>
      <c r="B59" s="216"/>
      <c r="C59" s="69" t="s">
        <v>594</v>
      </c>
      <c r="D59" s="217">
        <f aca="true" t="shared" si="12" ref="D59:T59">SUM(D45:D58)</f>
        <v>0</v>
      </c>
      <c r="E59" s="217">
        <f t="shared" si="12"/>
        <v>0</v>
      </c>
      <c r="F59" s="217"/>
      <c r="G59" s="217">
        <f t="shared" si="12"/>
        <v>0</v>
      </c>
      <c r="H59" s="217">
        <f t="shared" si="12"/>
        <v>0</v>
      </c>
      <c r="I59" s="217"/>
      <c r="J59" s="217">
        <f t="shared" si="12"/>
        <v>0</v>
      </c>
      <c r="K59" s="217">
        <f t="shared" si="12"/>
        <v>0</v>
      </c>
      <c r="L59" s="217"/>
      <c r="M59" s="217">
        <f t="shared" si="12"/>
        <v>0</v>
      </c>
      <c r="N59" s="217">
        <f t="shared" si="12"/>
        <v>0</v>
      </c>
      <c r="O59" s="217"/>
      <c r="P59" s="217">
        <f t="shared" si="12"/>
        <v>0</v>
      </c>
      <c r="Q59" s="217">
        <f t="shared" si="12"/>
        <v>0</v>
      </c>
      <c r="R59" s="217">
        <f t="shared" si="12"/>
        <v>0</v>
      </c>
      <c r="S59" s="217">
        <f t="shared" si="12"/>
        <v>0</v>
      </c>
      <c r="T59" s="218">
        <f t="shared" si="12"/>
        <v>0</v>
      </c>
    </row>
    <row r="60" spans="1:20" s="211" customFormat="1" ht="24.75" customHeight="1" hidden="1">
      <c r="A60" s="509" t="s">
        <v>380</v>
      </c>
      <c r="B60" s="512" t="s">
        <v>435</v>
      </c>
      <c r="C60" s="207" t="s">
        <v>420</v>
      </c>
      <c r="D60" s="208">
        <f>COUNTIF('様式4'!$AI$4:$AI$303,"1貨2")</f>
        <v>0</v>
      </c>
      <c r="E60" s="208">
        <f>COUNTIF('様式4'!$AO$4:$AO$303,"1貨22002")</f>
        <v>0</v>
      </c>
      <c r="F60" s="208" t="str">
        <f>IF(E60&gt;0,ROUND(SUMIF('様式4'!$AO$4:$AO$303,"=1貨22002",'様式4'!$AP$4:$AP$303)/E60,0)," ")</f>
        <v> </v>
      </c>
      <c r="G60" s="208">
        <f>COUNTIF('様式4'!$AR$4:$AR$303,"1貨22002")</f>
        <v>0</v>
      </c>
      <c r="H60" s="208">
        <f>COUNTIF('様式4'!$AO$4:$AO$303,"1貨22003")</f>
        <v>0</v>
      </c>
      <c r="I60" s="208" t="str">
        <f>IF(H60&gt;0,ROUND(SUMIF('様式4'!$AO$4:$AO$303,"=1貨22003",'様式4'!$AP$4:$AP$303)/H60,0)," ")</f>
        <v> </v>
      </c>
      <c r="J60" s="208">
        <f>COUNTIF('様式4'!$AR$4:$AR$303,"1貨22003")</f>
        <v>0</v>
      </c>
      <c r="K60" s="208">
        <f>COUNTIF('様式4'!$AO$4:$AO$303,"1貨22004")</f>
        <v>0</v>
      </c>
      <c r="L60" s="208" t="str">
        <f>IF(K60&gt;0,ROUND(SUMIF('様式4'!$AO$4:$AO$303,"=1貨22004",'様式4'!$AP$4:$AP$303)/K60,0)," ")</f>
        <v> </v>
      </c>
      <c r="M60" s="208">
        <f>COUNTIF('様式4'!$AR$4:$AR$303,"1貨22004")</f>
        <v>0</v>
      </c>
      <c r="N60" s="208">
        <f>COUNTIF('様式4'!$AO$4:$AO$303,"1貨22005")</f>
        <v>0</v>
      </c>
      <c r="O60" s="208" t="str">
        <f>IF(N60&gt;0,ROUND(SUMIF('様式4'!$AO$4:$AO$303,"=1貨22005",'様式4'!$AP$4:$AP$303)/N60,0)," ")</f>
        <v> </v>
      </c>
      <c r="P60" s="208">
        <f>COUNTIF('様式4'!$AR$4:$AR$303,"1貨22005")</f>
        <v>0</v>
      </c>
      <c r="Q60" s="209">
        <f>COUNTIF('様式4'!$AR$4:$AR$303,"1貨2")-COUNTIF('様式4'!$AO$4:$AO$303,"1貨2")+'計算シート'!D24</f>
        <v>0</v>
      </c>
      <c r="R60" s="209">
        <f>E60+H60+K60+N60</f>
        <v>0</v>
      </c>
      <c r="S60" s="209">
        <f>G60+J60+M60+P60</f>
        <v>0</v>
      </c>
      <c r="T60" s="210">
        <f>D60+Q60-R60+S60</f>
        <v>0</v>
      </c>
    </row>
    <row r="61" spans="1:20" s="211" customFormat="1" ht="24.75" customHeight="1" hidden="1">
      <c r="A61" s="507"/>
      <c r="B61" s="513"/>
      <c r="C61" s="201" t="s">
        <v>320</v>
      </c>
      <c r="D61" s="202">
        <f>COUNTIF('様式4'!$AI$4:$AI$303,"2貨2")</f>
        <v>0</v>
      </c>
      <c r="E61" s="202">
        <f>COUNTIF('様式4'!$AO$4:$AO$303,"2貨22002")</f>
        <v>0</v>
      </c>
      <c r="F61" s="202" t="str">
        <f>IF(E61&gt;0,ROUND(SUMIF('様式4'!$AO$4:$AO$303,"=2貨22002",'様式4'!$AP$4:$AP$303)/E61,0)," ")</f>
        <v> </v>
      </c>
      <c r="G61" s="202">
        <f>COUNTIF('様式4'!$AR$4:$AR$303,"2貨22002")</f>
        <v>0</v>
      </c>
      <c r="H61" s="202">
        <f>COUNTIF('様式4'!$AO$4:$AO$303,"2貨22003")</f>
        <v>0</v>
      </c>
      <c r="I61" s="202" t="str">
        <f>IF(H61&gt;0,ROUND(SUMIF('様式4'!$AO$4:$AO$303,"=2貨22003",'様式4'!$AP$4:$AP$303)/H61,0)," ")</f>
        <v> </v>
      </c>
      <c r="J61" s="202">
        <f>COUNTIF('様式4'!$AR$4:$AR$303,"2貨22003")</f>
        <v>0</v>
      </c>
      <c r="K61" s="202">
        <f>COUNTIF('様式4'!$AO$4:$AO$303,"2貨22004")</f>
        <v>0</v>
      </c>
      <c r="L61" s="202" t="str">
        <f>IF(K61&gt;0,ROUND(SUMIF('様式4'!$AO$4:$AO$303,"=2貨22004",'様式4'!$AP$4:$AP$303)/K61,0)," ")</f>
        <v> </v>
      </c>
      <c r="M61" s="202">
        <f>COUNTIF('様式4'!$AR$4:$AR$303,"2貨22004")</f>
        <v>0</v>
      </c>
      <c r="N61" s="202">
        <f>COUNTIF('様式4'!$AO$4:$AO$303,"2貨22005")</f>
        <v>0</v>
      </c>
      <c r="O61" s="202" t="str">
        <f>IF(N61&gt;0,ROUND(SUMIF('様式4'!$AO$4:$AO$303,"=2貨22005",'様式4'!$AP$4:$AP$303)/N61,0)," ")</f>
        <v> </v>
      </c>
      <c r="P61" s="202">
        <f>COUNTIF('様式4'!$AR$4:$AR$303,"2貨22005")</f>
        <v>0</v>
      </c>
      <c r="Q61" s="212">
        <f>COUNTIF('様式4'!$AR$4:$AR$303,"2貨2")-COUNTIF('様式4'!$AO$4:$AO$303,"2貨2")+'計算シート'!E24</f>
        <v>0</v>
      </c>
      <c r="R61" s="212">
        <f>E61+H61+K61+N61</f>
        <v>0</v>
      </c>
      <c r="S61" s="212">
        <f aca="true" t="shared" si="13" ref="S61:S72">G61+J61+M61+P61</f>
        <v>0</v>
      </c>
      <c r="T61" s="203">
        <f aca="true" t="shared" si="14" ref="T61:T72">D61+Q61-R61+S61</f>
        <v>0</v>
      </c>
    </row>
    <row r="62" spans="1:20" s="211" customFormat="1" ht="24.75" customHeight="1" hidden="1">
      <c r="A62" s="507"/>
      <c r="B62" s="513"/>
      <c r="C62" s="201" t="s">
        <v>27</v>
      </c>
      <c r="D62" s="202">
        <f>COUNTIF('様式4'!$AI$4:$AI$303,"3貨2")</f>
        <v>0</v>
      </c>
      <c r="E62" s="202">
        <f>COUNTIF('様式4'!$AO$4:$AO$303,"3貨22002")</f>
        <v>0</v>
      </c>
      <c r="F62" s="202" t="str">
        <f>IF(E62&gt;0,ROUND(SUMIF('様式4'!$AO$4:$AO$303,"=3貨22002",'様式4'!$AP$4:$AP$303)/E62,0)," ")</f>
        <v> </v>
      </c>
      <c r="G62" s="202">
        <f>COUNTIF('様式4'!$AR$4:$AR$303,"3貨22002")</f>
        <v>0</v>
      </c>
      <c r="H62" s="202">
        <f>COUNTIF('様式4'!$AO$4:$AO$303,"3貨22003")</f>
        <v>0</v>
      </c>
      <c r="I62" s="202" t="str">
        <f>IF(H62&gt;0,ROUND(SUMIF('様式4'!$AO$4:$AO$303,"=3貨22003",'様式4'!$AP$4:$AP$303)/H62,0)," ")</f>
        <v> </v>
      </c>
      <c r="J62" s="202">
        <f>COUNTIF('様式4'!$AR$4:$AR$303,"3貨22003")</f>
        <v>0</v>
      </c>
      <c r="K62" s="202">
        <f>COUNTIF('様式4'!$AO$4:$AO$303,"3貨22004")</f>
        <v>0</v>
      </c>
      <c r="L62" s="202" t="str">
        <f>IF(K62&gt;0,ROUND(SUMIF('様式4'!$AO$4:$AO$303,"=3貨22004",'様式4'!$AP$4:$AP$303)/K62,0)," ")</f>
        <v> </v>
      </c>
      <c r="M62" s="202">
        <f>COUNTIF('様式4'!$AR$4:$AR$303,"3貨22004")</f>
        <v>0</v>
      </c>
      <c r="N62" s="202">
        <f>COUNTIF('様式4'!$AO$4:$AO$303,"3貨22005")</f>
        <v>0</v>
      </c>
      <c r="O62" s="202" t="str">
        <f>IF(N62&gt;0,ROUND(SUMIF('様式4'!$AO$4:$AO$303,"=3貨22005",'様式4'!$AP$4:$AP$303)/N62,0)," ")</f>
        <v> </v>
      </c>
      <c r="P62" s="202">
        <f>COUNTIF('様式4'!$AR$4:$AR$303,"3貨22005")</f>
        <v>0</v>
      </c>
      <c r="Q62" s="212">
        <f>COUNTIF('様式4'!$AR$4:$AR$303,"3貨2")-COUNTIF('様式4'!$AO$4:$AO$303,"3貨2")+'計算シート'!F24</f>
        <v>0</v>
      </c>
      <c r="R62" s="212">
        <f aca="true" t="shared" si="15" ref="R62:R72">E62+H62+K62+N62</f>
        <v>0</v>
      </c>
      <c r="S62" s="212">
        <f t="shared" si="13"/>
        <v>0</v>
      </c>
      <c r="T62" s="203">
        <f t="shared" si="14"/>
        <v>0</v>
      </c>
    </row>
    <row r="63" spans="1:20" ht="24.75" customHeight="1" hidden="1">
      <c r="A63" s="507"/>
      <c r="B63" s="513"/>
      <c r="C63" s="201" t="s">
        <v>419</v>
      </c>
      <c r="D63" s="202">
        <f>COUNTIF('様式4'!$AI$4:$AI$303,"4貨2")</f>
        <v>0</v>
      </c>
      <c r="E63" s="202">
        <f>COUNTIF('様式4'!$AO$4:$AO$303,"4貨22002")</f>
        <v>0</v>
      </c>
      <c r="F63" s="202" t="str">
        <f>IF(E63&gt;0,ROUND(SUMIF('様式4'!$AO$4:$AO$303,"=4貨22002",'様式4'!$AP$4:$AP$303)/E63,0)," ")</f>
        <v> </v>
      </c>
      <c r="G63" s="202">
        <f>COUNTIF('様式4'!$AR$4:$AR$303,"4貨22002")</f>
        <v>0</v>
      </c>
      <c r="H63" s="202">
        <f>COUNTIF('様式4'!$AO$4:$AO$303,"4貨22003")</f>
        <v>0</v>
      </c>
      <c r="I63" s="202" t="str">
        <f>IF(H63&gt;0,ROUND(SUMIF('様式4'!$AO$4:$AO$303,"=4貨22003",'様式4'!$AP$4:$AP$303)/H63,0)," ")</f>
        <v> </v>
      </c>
      <c r="J63" s="202">
        <f>COUNTIF('様式4'!$AR$4:$AR$303,"4貨22003")</f>
        <v>0</v>
      </c>
      <c r="K63" s="202">
        <f>COUNTIF('様式4'!$AO$4:$AO$303,"4貨22004")</f>
        <v>0</v>
      </c>
      <c r="L63" s="202" t="str">
        <f>IF(K63&gt;0,ROUND(SUMIF('様式4'!$AO$4:$AO$303,"=4貨22004",'様式4'!$AP$4:$AP$303)/K63,0)," ")</f>
        <v> </v>
      </c>
      <c r="M63" s="202">
        <f>COUNTIF('様式4'!$AR$4:$AR$303,"4貨22004")</f>
        <v>0</v>
      </c>
      <c r="N63" s="202">
        <f>COUNTIF('様式4'!$AO$4:$AO$303,"4貨22005")</f>
        <v>0</v>
      </c>
      <c r="O63" s="202" t="str">
        <f>IF(N63&gt;0,ROUND(SUMIF('様式4'!$AO$4:$AO$303,"=4貨22005",'様式4'!$AP$4:$AP$303)/N63,0)," ")</f>
        <v> </v>
      </c>
      <c r="P63" s="202">
        <f>COUNTIF('様式4'!$AR$4:$AR$303,"4貨22005")</f>
        <v>0</v>
      </c>
      <c r="Q63" s="212">
        <f>COUNTIF('様式4'!$AR$4:$AR$303,"4貨2")-COUNTIF('様式4'!$AO$4:$AO$303,"4貨2")+'計算シート'!G24</f>
        <v>0</v>
      </c>
      <c r="R63" s="212">
        <f t="shared" si="15"/>
        <v>0</v>
      </c>
      <c r="S63" s="212">
        <f t="shared" si="13"/>
        <v>0</v>
      </c>
      <c r="T63" s="203">
        <f t="shared" si="14"/>
        <v>0</v>
      </c>
    </row>
    <row r="64" spans="1:20" ht="24.75" customHeight="1" hidden="1">
      <c r="A64" s="510"/>
      <c r="B64" s="514"/>
      <c r="C64" s="201" t="s">
        <v>429</v>
      </c>
      <c r="D64" s="202">
        <f>COUNTIF('様式4'!$AI$4:$AI$303,"5貨2")</f>
        <v>0</v>
      </c>
      <c r="E64" s="202">
        <f>COUNTIF('様式4'!$AO$4:$AO$303,"5貨22002")</f>
        <v>0</v>
      </c>
      <c r="F64" s="202" t="str">
        <f>IF(E64&gt;0,ROUND(SUMIF('様式4'!$AO$4:$AO$303,"=5貨22002",'様式4'!$AP$4:$AP$303)/E64,0)," ")</f>
        <v> </v>
      </c>
      <c r="G64" s="202">
        <f>COUNTIF('様式4'!$AR$4:$AR$303,"5貨22002")</f>
        <v>0</v>
      </c>
      <c r="H64" s="202">
        <f>COUNTIF('様式4'!$AO$4:$AO$303,"5貨22003")</f>
        <v>0</v>
      </c>
      <c r="I64" s="202" t="str">
        <f>IF(H64&gt;0,ROUND(SUMIF('様式4'!$AO$4:$AO$303,"=5貨22003",'様式4'!$AP$4:$AP$303)/H64,0)," ")</f>
        <v> </v>
      </c>
      <c r="J64" s="202">
        <f>COUNTIF('様式4'!$AR$4:$AR$303,"5貨22003")</f>
        <v>0</v>
      </c>
      <c r="K64" s="202">
        <f>COUNTIF('様式4'!$AO$4:$AO$303,"5貨22004")</f>
        <v>0</v>
      </c>
      <c r="L64" s="202" t="str">
        <f>IF(K64&gt;0,ROUND(SUMIF('様式4'!$AO$4:$AO$303,"=5貨22004",'様式4'!$AP$4:$AP$303)/K64,0)," ")</f>
        <v> </v>
      </c>
      <c r="M64" s="202">
        <f>COUNTIF('様式4'!$AR$4:$AR$303,"5貨22004")</f>
        <v>0</v>
      </c>
      <c r="N64" s="202">
        <f>COUNTIF('様式4'!$AO$4:$AO$303,"5貨22005")</f>
        <v>0</v>
      </c>
      <c r="O64" s="202" t="str">
        <f>IF(N64&gt;0,ROUND(SUMIF('様式4'!$AO$4:$AO$303,"=5貨22005",'様式4'!$AP$4:$AP$303)/N64,0)," ")</f>
        <v> </v>
      </c>
      <c r="P64" s="202">
        <f>COUNTIF('様式4'!$AR$4:$AR$303,"5貨22005")</f>
        <v>0</v>
      </c>
      <c r="Q64" s="212">
        <f>COUNTIF('様式4'!$AR$4:$AR$303,"5貨2")-COUNTIF('様式4'!$AO$4:$AO$303,"5貨2")+'計算シート'!H24</f>
        <v>0</v>
      </c>
      <c r="R64" s="212">
        <f t="shared" si="15"/>
        <v>0</v>
      </c>
      <c r="S64" s="212">
        <f t="shared" si="13"/>
        <v>0</v>
      </c>
      <c r="T64" s="203">
        <f t="shared" si="14"/>
        <v>0</v>
      </c>
    </row>
    <row r="65" spans="1:20" ht="24.75" customHeight="1" hidden="1">
      <c r="A65" s="510"/>
      <c r="B65" s="515" t="s">
        <v>47</v>
      </c>
      <c r="C65" s="258" t="s">
        <v>7</v>
      </c>
      <c r="D65" s="202">
        <f>COUNTIF('様式4'!$AI$4:$AI$303,"6貨2")</f>
        <v>0</v>
      </c>
      <c r="E65" s="202">
        <f>COUNTIF('様式4'!$AO$4:$AO$303,"6貨22002")</f>
        <v>0</v>
      </c>
      <c r="F65" s="202" t="str">
        <f>IF(E65&gt;0,ROUND(SUMIF('様式4'!$AO$4:$AO$303,"=6貨22002",'様式4'!$AP$4:$AP$303)/E65,0)," ")</f>
        <v> </v>
      </c>
      <c r="G65" s="202">
        <f>COUNTIF('様式4'!$AR$4:$AR$303,"6貨22002")</f>
        <v>0</v>
      </c>
      <c r="H65" s="202">
        <f>COUNTIF('様式4'!$AO$4:$AO$303,"6貨22003")</f>
        <v>0</v>
      </c>
      <c r="I65" s="202" t="str">
        <f>IF(H65&gt;0,ROUND(SUMIF('様式4'!$AO$4:$AO$303,"=6貨22003",'様式4'!$AP$4:$AP$303)/H65,0)," ")</f>
        <v> </v>
      </c>
      <c r="J65" s="202">
        <f>COUNTIF('様式4'!$AR$4:$AR$303,"6貨22003")</f>
        <v>0</v>
      </c>
      <c r="K65" s="202">
        <f>COUNTIF('様式4'!$AO$4:$AO$303,"6貨22004")</f>
        <v>0</v>
      </c>
      <c r="L65" s="202" t="str">
        <f>IF(K65&gt;0,ROUND(SUMIF('様式4'!$AO$4:$AO$303,"=6貨22004",'様式4'!$AP$4:$AP$303)/K65,0)," ")</f>
        <v> </v>
      </c>
      <c r="M65" s="202">
        <f>COUNTIF('様式4'!$AR$4:$AR$303,"6貨22004")</f>
        <v>0</v>
      </c>
      <c r="N65" s="202">
        <f>COUNTIF('様式4'!$AO$4:$AO$303,"6貨22005")</f>
        <v>0</v>
      </c>
      <c r="O65" s="202" t="str">
        <f>IF(N65&gt;0,ROUND(SUMIF('様式4'!$AO$4:$AO$303,"=6貨22005",'様式4'!$AP$4:$AP$303)/N65,0)," ")</f>
        <v> </v>
      </c>
      <c r="P65" s="202">
        <f>COUNTIF('様式4'!$AR$4:$AR$303,"6貨22005")</f>
        <v>0</v>
      </c>
      <c r="Q65" s="212">
        <f>COUNTIF('様式4'!$AR$4:$AR$303,"6貨2")-COUNTIF('様式4'!$AO$4:$AO$303,"6貨2")+'計算シート'!I24</f>
        <v>0</v>
      </c>
      <c r="R65" s="212">
        <f t="shared" si="15"/>
        <v>0</v>
      </c>
      <c r="S65" s="212">
        <f t="shared" si="13"/>
        <v>0</v>
      </c>
      <c r="T65" s="203">
        <f t="shared" si="14"/>
        <v>0</v>
      </c>
    </row>
    <row r="66" spans="1:20" ht="24.75" customHeight="1" hidden="1">
      <c r="A66" s="510"/>
      <c r="B66" s="513"/>
      <c r="C66" s="258" t="s">
        <v>8</v>
      </c>
      <c r="D66" s="202">
        <f>COUNTIF('様式4'!$AI$4:$AI$303,"7貨2")</f>
        <v>0</v>
      </c>
      <c r="E66" s="202">
        <f>COUNTIF('様式4'!$AO$4:$AO$303,"7貨22002")</f>
        <v>0</v>
      </c>
      <c r="F66" s="202" t="str">
        <f>IF(E66&gt;0,ROUND(SUMIF('様式4'!$AO$4:$AO$303,"=7貨22002",'様式4'!$AP$4:$AP$303)/E66,0)," ")</f>
        <v> </v>
      </c>
      <c r="G66" s="202">
        <f>COUNTIF('様式4'!$AR$4:$AR$303,"7貨22002")</f>
        <v>0</v>
      </c>
      <c r="H66" s="202">
        <f>COUNTIF('様式4'!$AO$4:$AO$303,"7貨22003")</f>
        <v>0</v>
      </c>
      <c r="I66" s="202" t="str">
        <f>IF(H66&gt;0,ROUND(SUMIF('様式4'!$AO$4:$AO$303,"=7貨22003",'様式4'!$AP$4:$AP$303)/H66,0)," ")</f>
        <v> </v>
      </c>
      <c r="J66" s="202">
        <f>COUNTIF('様式4'!$AR$4:$AR$303,"7貨22003")</f>
        <v>0</v>
      </c>
      <c r="K66" s="202">
        <f>COUNTIF('様式4'!$AO$4:$AO$303,"7貨22004")</f>
        <v>0</v>
      </c>
      <c r="L66" s="202" t="str">
        <f>IF(K66&gt;0,ROUND(SUMIF('様式4'!$AO$4:$AO$303,"=7貨22004",'様式4'!$AP$4:$AP$303)/K66,0)," ")</f>
        <v> </v>
      </c>
      <c r="M66" s="202">
        <f>COUNTIF('様式4'!$AR$4:$AR$303,"7貨22004")</f>
        <v>0</v>
      </c>
      <c r="N66" s="202">
        <f>COUNTIF('様式4'!$AO$4:$AO$303,"7貨22005")</f>
        <v>0</v>
      </c>
      <c r="O66" s="202" t="str">
        <f>IF(N66&gt;0,ROUND(SUMIF('様式4'!$AO$4:$AO$303,"=7貨22005",'様式4'!$AP$4:$AP$303)/N66,0)," ")</f>
        <v> </v>
      </c>
      <c r="P66" s="202">
        <f>COUNTIF('様式4'!$AR$4:$AR$303,"7貨22005")</f>
        <v>0</v>
      </c>
      <c r="Q66" s="212">
        <f>COUNTIF('様式4'!$AR$4:$AR$303,"7貨2")-COUNTIF('様式4'!$AO$4:$AO$303,"7貨2")+'計算シート'!J24</f>
        <v>0</v>
      </c>
      <c r="R66" s="212">
        <f t="shared" si="15"/>
        <v>0</v>
      </c>
      <c r="S66" s="212">
        <f t="shared" si="13"/>
        <v>0</v>
      </c>
      <c r="T66" s="203">
        <f t="shared" si="14"/>
        <v>0</v>
      </c>
    </row>
    <row r="67" spans="1:20" ht="24.75" customHeight="1" hidden="1">
      <c r="A67" s="510"/>
      <c r="B67" s="513"/>
      <c r="C67" s="258" t="s">
        <v>9</v>
      </c>
      <c r="D67" s="202">
        <f>COUNTIF('様式4'!$AI$4:$AI$303,"8貨2")</f>
        <v>0</v>
      </c>
      <c r="E67" s="202">
        <f>COUNTIF('様式4'!$AO$4:$AO$303,"8貨22002")</f>
        <v>0</v>
      </c>
      <c r="F67" s="202" t="str">
        <f>IF(E67&gt;0,ROUND(SUMIF('様式4'!$AO$4:$AO$303,"=8貨22002",'様式4'!$AP$4:$AP$303)/E67,0)," ")</f>
        <v> </v>
      </c>
      <c r="G67" s="202">
        <f>COUNTIF('様式4'!$AR$4:$AR$303,"8貨22002")</f>
        <v>0</v>
      </c>
      <c r="H67" s="202">
        <f>COUNTIF('様式4'!$AO$4:$AO$303,"8貨22003")</f>
        <v>0</v>
      </c>
      <c r="I67" s="202" t="str">
        <f>IF(H67&gt;0,ROUND(SUMIF('様式4'!$AO$4:$AO$303,"=8貨22003",'様式4'!$AP$4:$AP$303)/H67,0)," ")</f>
        <v> </v>
      </c>
      <c r="J67" s="202">
        <f>COUNTIF('様式4'!$AR$4:$AR$303,"8貨22003")</f>
        <v>0</v>
      </c>
      <c r="K67" s="202">
        <f>COUNTIF('様式4'!$AO$4:$AO$303,"8貨22004")</f>
        <v>0</v>
      </c>
      <c r="L67" s="202" t="str">
        <f>IF(K67&gt;0,ROUND(SUMIF('様式4'!$AO$4:$AO$303,"=8貨22004",'様式4'!$AP$4:$AP$303)/K67,0)," ")</f>
        <v> </v>
      </c>
      <c r="M67" s="202">
        <f>COUNTIF('様式4'!$AR$4:$AR$303,"8貨22004")</f>
        <v>0</v>
      </c>
      <c r="N67" s="202">
        <f>COUNTIF('様式4'!$AO$4:$AO$303,"8貨22005")</f>
        <v>0</v>
      </c>
      <c r="O67" s="202" t="str">
        <f>IF(N67&gt;0,ROUND(SUMIF('様式4'!$AO$4:$AO$303,"=8貨22005",'様式4'!$AP$4:$AP$303)/N67,0)," ")</f>
        <v> </v>
      </c>
      <c r="P67" s="202">
        <f>COUNTIF('様式4'!$AR$4:$AR$303,"8貨22005")</f>
        <v>0</v>
      </c>
      <c r="Q67" s="212">
        <f>COUNTIF('様式4'!$AR$4:$AR$303,"8貨2")-COUNTIF('様式4'!$AO$4:$AO$303,"8貨2")+'計算シート'!K24</f>
        <v>0</v>
      </c>
      <c r="R67" s="212">
        <f t="shared" si="15"/>
        <v>0</v>
      </c>
      <c r="S67" s="212">
        <f t="shared" si="13"/>
        <v>0</v>
      </c>
      <c r="T67" s="203">
        <f t="shared" si="14"/>
        <v>0</v>
      </c>
    </row>
    <row r="68" spans="1:20" ht="24.75" customHeight="1" hidden="1">
      <c r="A68" s="510"/>
      <c r="B68" s="513"/>
      <c r="C68" s="258" t="s">
        <v>10</v>
      </c>
      <c r="D68" s="202">
        <f>COUNTIF('様式4'!$AI$4:$AI$303,"9貨2")</f>
        <v>0</v>
      </c>
      <c r="E68" s="202">
        <f>COUNTIF('様式4'!$AO$4:$AO$303,"9貨22002")</f>
        <v>0</v>
      </c>
      <c r="F68" s="202" t="str">
        <f>IF(E68&gt;0,ROUND(SUMIF('様式4'!$AO$4:$AO$303,"=9貨22002",'様式4'!$AP$4:$AP$303)/E68,0)," ")</f>
        <v> </v>
      </c>
      <c r="G68" s="202">
        <f>COUNTIF('様式4'!$AR$4:$AR$303,"9貨22002")</f>
        <v>0</v>
      </c>
      <c r="H68" s="202">
        <f>COUNTIF('様式4'!$AO$4:$AO$303,"9貨22003")</f>
        <v>0</v>
      </c>
      <c r="I68" s="202" t="str">
        <f>IF(H68&gt;0,ROUND(SUMIF('様式4'!$AO$4:$AO$303,"=9貨22003",'様式4'!$AP$4:$AP$303)/H68,0)," ")</f>
        <v> </v>
      </c>
      <c r="J68" s="202">
        <f>COUNTIF('様式4'!$AR$4:$AR$303,"9貨22003")</f>
        <v>0</v>
      </c>
      <c r="K68" s="202">
        <f>COUNTIF('様式4'!$AO$4:$AO$303,"9貨22004")</f>
        <v>0</v>
      </c>
      <c r="L68" s="202" t="str">
        <f>IF(K68&gt;0,ROUND(SUMIF('様式4'!$AO$4:$AO$303,"=9貨22004",'様式4'!$AP$4:$AP$303)/K68,0)," ")</f>
        <v> </v>
      </c>
      <c r="M68" s="202">
        <f>COUNTIF('様式4'!$AR$4:$AR$303,"9貨22004")</f>
        <v>0</v>
      </c>
      <c r="N68" s="202">
        <f>COUNTIF('様式4'!$AO$4:$AO$303,"9貨22005")</f>
        <v>0</v>
      </c>
      <c r="O68" s="202" t="str">
        <f>IF(N68&gt;0,ROUND(SUMIF('様式4'!$AO$4:$AO$303,"=9貨22005",'様式4'!$AP$4:$AP$303)/N68,0)," ")</f>
        <v> </v>
      </c>
      <c r="P68" s="202">
        <f>COUNTIF('様式4'!$AR$4:$AR$303,"9貨22005")</f>
        <v>0</v>
      </c>
      <c r="Q68" s="212">
        <f>COUNTIF('様式4'!$AR$4:$AR$303,"9貨2")-COUNTIF('様式4'!$AO$4:$AO$303,"9貨2")+'計算シート'!L24</f>
        <v>0</v>
      </c>
      <c r="R68" s="212">
        <f t="shared" si="15"/>
        <v>0</v>
      </c>
      <c r="S68" s="212">
        <f t="shared" si="13"/>
        <v>0</v>
      </c>
      <c r="T68" s="203">
        <f t="shared" si="14"/>
        <v>0</v>
      </c>
    </row>
    <row r="69" spans="1:20" ht="24.75" customHeight="1" hidden="1">
      <c r="A69" s="510"/>
      <c r="B69" s="513"/>
      <c r="C69" s="258" t="s">
        <v>416</v>
      </c>
      <c r="D69" s="202">
        <f>COUNTIF('様式4'!$AI$4:$AI$303,"10貨2")</f>
        <v>0</v>
      </c>
      <c r="E69" s="202">
        <f>COUNTIF('様式4'!$AO$4:$AO$303,"10貨22002")</f>
        <v>0</v>
      </c>
      <c r="F69" s="202" t="str">
        <f>IF(E69&gt;0,ROUND(SUMIF('様式4'!$AO$4:$AO$303,"=10貨22002",'様式4'!$AP$4:$AP$303)/E69,0)," ")</f>
        <v> </v>
      </c>
      <c r="G69" s="202">
        <f>COUNTIF('様式4'!$AR$4:$AR$303,"10貨22002")</f>
        <v>0</v>
      </c>
      <c r="H69" s="202">
        <f>COUNTIF('様式4'!$AO$4:$AO$303,"10貨22003")</f>
        <v>0</v>
      </c>
      <c r="I69" s="202" t="str">
        <f>IF(H69&gt;0,ROUND(SUMIF('様式4'!$AO$4:$AO$303,"=10貨22003",'様式4'!$AP$4:$AP$303)/H69,0)," ")</f>
        <v> </v>
      </c>
      <c r="J69" s="202">
        <f>COUNTIF('様式4'!$AR$4:$AR$303,"10貨22003")</f>
        <v>0</v>
      </c>
      <c r="K69" s="202">
        <f>COUNTIF('様式4'!$AO$4:$AO$303,"10貨22004")</f>
        <v>0</v>
      </c>
      <c r="L69" s="202" t="str">
        <f>IF(K69&gt;0,ROUND(SUMIF('様式4'!$AO$4:$AO$303,"=10貨22004",'様式4'!$AP$4:$AP$303)/K69,0)," ")</f>
        <v> </v>
      </c>
      <c r="M69" s="202">
        <f>COUNTIF('様式4'!$AR$4:$AR$303,"10貨22004")</f>
        <v>0</v>
      </c>
      <c r="N69" s="202">
        <f>COUNTIF('様式4'!$AO$4:$AO$303,"10貨22005")</f>
        <v>0</v>
      </c>
      <c r="O69" s="202" t="str">
        <f>IF(N69&gt;0,ROUND(SUMIF('様式4'!$AO$4:$AO$303,"=10貨22005",'様式4'!$AP$4:$AP$303)/N69,0)," ")</f>
        <v> </v>
      </c>
      <c r="P69" s="202">
        <f>COUNTIF('様式4'!$AR$4:$AR$303,"10貨22005")</f>
        <v>0</v>
      </c>
      <c r="Q69" s="212">
        <f>COUNTIF('様式4'!$AR$4:$AR$303,"10貨2")-COUNTIF('様式4'!$AO$4:$AO$303,"10貨2")+'計算シート'!M24</f>
        <v>0</v>
      </c>
      <c r="R69" s="212">
        <f t="shared" si="15"/>
        <v>0</v>
      </c>
      <c r="S69" s="212">
        <f t="shared" si="13"/>
        <v>0</v>
      </c>
      <c r="T69" s="203">
        <f t="shared" si="14"/>
        <v>0</v>
      </c>
    </row>
    <row r="70" spans="1:20" ht="24.75" customHeight="1" hidden="1">
      <c r="A70" s="510"/>
      <c r="B70" s="514"/>
      <c r="C70" s="258" t="s">
        <v>11</v>
      </c>
      <c r="D70" s="202">
        <f>COUNTIF('様式4'!$AI$4:$AI$303,"11貨2")</f>
        <v>0</v>
      </c>
      <c r="E70" s="202">
        <f>COUNTIF('様式4'!$AO$4:$AO$303,"11貨22002")</f>
        <v>0</v>
      </c>
      <c r="F70" s="202" t="str">
        <f>IF(E70&gt;0,ROUND(SUMIF('様式4'!$AO$4:$AO$303,"=11貨22002",'様式4'!$AP$4:$AP$303)/E70,0)," ")</f>
        <v> </v>
      </c>
      <c r="G70" s="202">
        <f>COUNTIF('様式4'!$AR$4:$AR$303,"11貨22002")</f>
        <v>0</v>
      </c>
      <c r="H70" s="202">
        <f>COUNTIF('様式4'!$AO$4:$AO$303,"11貨22003")</f>
        <v>0</v>
      </c>
      <c r="I70" s="202" t="str">
        <f>IF(H70&gt;0,ROUND(SUMIF('様式4'!$AO$4:$AO$303,"=11貨22003",'様式4'!$AP$4:$AP$303)/H70,0)," ")</f>
        <v> </v>
      </c>
      <c r="J70" s="202">
        <f>COUNTIF('様式4'!$AR$4:$AR$303,"11貨22003")</f>
        <v>0</v>
      </c>
      <c r="K70" s="202">
        <f>COUNTIF('様式4'!$AO$4:$AO$303,"11貨22004")</f>
        <v>0</v>
      </c>
      <c r="L70" s="202" t="str">
        <f>IF(K70&gt;0,ROUND(SUMIF('様式4'!$AO$4:$AO$303,"=11貨22004",'様式4'!$AP$4:$AP$303)/K70,0)," ")</f>
        <v> </v>
      </c>
      <c r="M70" s="202">
        <f>COUNTIF('様式4'!$AR$4:$AR$303,"11貨22004")</f>
        <v>0</v>
      </c>
      <c r="N70" s="202">
        <f>COUNTIF('様式4'!$AO$4:$AO$303,"11貨22005")</f>
        <v>0</v>
      </c>
      <c r="O70" s="202" t="str">
        <f>IF(N70&gt;0,ROUND(SUMIF('様式4'!$AO$4:$AO$303,"=11貨22005",'様式4'!$AP$4:$AP$303)/N70,0)," ")</f>
        <v> </v>
      </c>
      <c r="P70" s="202">
        <f>COUNTIF('様式4'!$AR$4:$AR$303,"11貨22005")</f>
        <v>0</v>
      </c>
      <c r="Q70" s="212">
        <f>COUNTIF('様式4'!$AR$4:$AR$303,"11貨2")-COUNTIF('様式4'!$AO$4:$AO$303,"11貨2")+'計算シート'!N24</f>
        <v>0</v>
      </c>
      <c r="R70" s="212">
        <f t="shared" si="15"/>
        <v>0</v>
      </c>
      <c r="S70" s="212">
        <f t="shared" si="13"/>
        <v>0</v>
      </c>
      <c r="T70" s="203">
        <f t="shared" si="14"/>
        <v>0</v>
      </c>
    </row>
    <row r="71" spans="1:20" ht="24.75" customHeight="1" hidden="1">
      <c r="A71" s="510"/>
      <c r="B71" s="515" t="s">
        <v>334</v>
      </c>
      <c r="C71" s="201" t="s">
        <v>323</v>
      </c>
      <c r="D71" s="202">
        <f>COUNTIF('様式4'!$AI$4:$AI$303,"12貨2")</f>
        <v>0</v>
      </c>
      <c r="E71" s="202">
        <f>COUNTIF('様式4'!$AO$4:$AO$303,"12貨22002")</f>
        <v>0</v>
      </c>
      <c r="F71" s="202" t="str">
        <f>IF(E71&gt;0,ROUND(SUMIF('様式4'!$AO$4:$AO$303,"=12貨22002",'様式4'!$AP$4:$AP$303)/E71,0)," ")</f>
        <v> </v>
      </c>
      <c r="G71" s="202">
        <f>COUNTIF('様式4'!$AR$4:$AR$303,"12貨22002")</f>
        <v>0</v>
      </c>
      <c r="H71" s="202">
        <f>COUNTIF('様式4'!$AO$4:$AO$303,"12貨22003")</f>
        <v>0</v>
      </c>
      <c r="I71" s="202" t="str">
        <f>IF(H71&gt;0,ROUND(SUMIF('様式4'!$AO$4:$AO$303,"=12貨22003",'様式4'!$AP$4:$AP$303)/H71,0)," ")</f>
        <v> </v>
      </c>
      <c r="J71" s="202">
        <f>COUNTIF('様式4'!$AR$4:$AR$303,"12貨22003")</f>
        <v>0</v>
      </c>
      <c r="K71" s="202">
        <f>COUNTIF('様式4'!$AO$4:$AO$303,"12貨22004")</f>
        <v>0</v>
      </c>
      <c r="L71" s="202" t="str">
        <f>IF(K71&gt;0,ROUND(SUMIF('様式4'!$AO$4:$AO$303,"=12貨22004",'様式4'!$AP$4:$AP$303)/K71,0)," ")</f>
        <v> </v>
      </c>
      <c r="M71" s="202">
        <f>COUNTIF('様式4'!$AR$4:$AR$303,"12貨22004")</f>
        <v>0</v>
      </c>
      <c r="N71" s="202">
        <f>COUNTIF('様式4'!$AO$4:$AO$303,"12貨22005")</f>
        <v>0</v>
      </c>
      <c r="O71" s="202" t="str">
        <f>IF(N71&gt;0,ROUND(SUMIF('様式4'!$AO$4:$AO$303,"=12貨22005",'様式4'!$AP$4:$AP$303)/N71,0)," ")</f>
        <v> </v>
      </c>
      <c r="P71" s="202">
        <f>COUNTIF('様式4'!$AR$4:$AR$303,"12貨22005")</f>
        <v>0</v>
      </c>
      <c r="Q71" s="212">
        <f>COUNTIF('様式4'!$AR$4:$AR$303,"12貨2")-COUNTIF('様式4'!$AO$4:$AO$303,"12貨2")+'計算シート'!O24</f>
        <v>0</v>
      </c>
      <c r="R71" s="212">
        <f t="shared" si="15"/>
        <v>0</v>
      </c>
      <c r="S71" s="212">
        <f t="shared" si="13"/>
        <v>0</v>
      </c>
      <c r="T71" s="203">
        <f t="shared" si="14"/>
        <v>0</v>
      </c>
    </row>
    <row r="72" spans="1:20" ht="24.75" customHeight="1" hidden="1">
      <c r="A72" s="510"/>
      <c r="B72" s="514"/>
      <c r="C72" s="201" t="s">
        <v>408</v>
      </c>
      <c r="D72" s="202">
        <f>COUNTIF('様式4'!$AI$4:$AI$303,"13貨2")</f>
        <v>0</v>
      </c>
      <c r="E72" s="202">
        <f>COUNTIF('様式4'!$AO$4:$AO$303,"13貨22002")</f>
        <v>0</v>
      </c>
      <c r="F72" s="202" t="str">
        <f>IF(E72&gt;0,ROUND(SUMIF('様式4'!$AO$4:$AO$303,"=13貨22002",'様式4'!$AP$4:$AP$303)/E72,0)," ")</f>
        <v> </v>
      </c>
      <c r="G72" s="202">
        <f>COUNTIF('様式4'!$AR$4:$AR$303,"13貨22002")</f>
        <v>0</v>
      </c>
      <c r="H72" s="202">
        <f>COUNTIF('様式4'!$AO$4:$AO$303,"13貨22003")</f>
        <v>0</v>
      </c>
      <c r="I72" s="202" t="str">
        <f>IF(H72&gt;0,ROUND(SUMIF('様式4'!$AO$4:$AO$303,"=13貨22003",'様式4'!$AP$4:$AP$303)/H72,0)," ")</f>
        <v> </v>
      </c>
      <c r="J72" s="202">
        <f>COUNTIF('様式4'!$AR$4:$AR$303,"13貨22003")</f>
        <v>0</v>
      </c>
      <c r="K72" s="202">
        <f>COUNTIF('様式4'!$AO$4:$AO$303,"13貨22004")</f>
        <v>0</v>
      </c>
      <c r="L72" s="202" t="str">
        <f>IF(K72&gt;0,ROUND(SUMIF('様式4'!$AO$4:$AO$303,"=13貨22004",'様式4'!$AP$4:$AP$303)/K72,0)," ")</f>
        <v> </v>
      </c>
      <c r="M72" s="202">
        <f>COUNTIF('様式4'!$AR$4:$AR$303,"13貨22004")</f>
        <v>0</v>
      </c>
      <c r="N72" s="202">
        <f>COUNTIF('様式4'!$AO$4:$AO$303,"13貨22005")</f>
        <v>0</v>
      </c>
      <c r="O72" s="202" t="str">
        <f>IF(N72&gt;0,ROUND(SUMIF('様式4'!$AO$4:$AO$303,"=13貨22005",'様式4'!$AP$4:$AP$303)/N72,0)," ")</f>
        <v> </v>
      </c>
      <c r="P72" s="202">
        <f>COUNTIF('様式4'!$AR$4:$AR$303,"13貨22005")</f>
        <v>0</v>
      </c>
      <c r="Q72" s="212">
        <f>COUNTIF('様式4'!$AR$4:$AR$303,"13貨2")-COUNTIF('様式4'!$AO$4:$AO$303,"13貨2")+'計算シート'!P24</f>
        <v>0</v>
      </c>
      <c r="R72" s="212">
        <f t="shared" si="15"/>
        <v>0</v>
      </c>
      <c r="S72" s="212">
        <f t="shared" si="13"/>
        <v>0</v>
      </c>
      <c r="T72" s="203">
        <f t="shared" si="14"/>
        <v>0</v>
      </c>
    </row>
    <row r="73" spans="1:20" ht="24.75" customHeight="1" hidden="1">
      <c r="A73" s="510"/>
      <c r="B73" s="51"/>
      <c r="C73" s="68" t="s">
        <v>432</v>
      </c>
      <c r="D73" s="214"/>
      <c r="E73" s="214"/>
      <c r="F73" s="214"/>
      <c r="G73" s="202">
        <f>COUNTIF('様式4'!$AR$4:$AR$303,"貨22002")</f>
        <v>0</v>
      </c>
      <c r="H73" s="214"/>
      <c r="I73" s="214"/>
      <c r="J73" s="202">
        <f>COUNTIF('様式4'!$AR$4:$AR$303,"貨22003")</f>
        <v>0</v>
      </c>
      <c r="K73" s="214"/>
      <c r="L73" s="214"/>
      <c r="M73" s="202">
        <f>COUNTIF('様式4'!$AR$4:$AR$303,"貨22004")</f>
        <v>0</v>
      </c>
      <c r="N73" s="214"/>
      <c r="O73" s="214"/>
      <c r="P73" s="202">
        <f>COUNTIF('様式4'!$AR$4:$AR$303,"貨22005")</f>
        <v>0</v>
      </c>
      <c r="Q73" s="212">
        <f>'計算シート'!S24</f>
        <v>0</v>
      </c>
      <c r="R73" s="215"/>
      <c r="S73" s="212"/>
      <c r="T73" s="203">
        <f>Q73</f>
        <v>0</v>
      </c>
    </row>
    <row r="74" spans="1:20" ht="24.75" customHeight="1" hidden="1" thickBot="1">
      <c r="A74" s="511"/>
      <c r="B74" s="60"/>
      <c r="C74" s="69" t="s">
        <v>594</v>
      </c>
      <c r="D74" s="217">
        <f aca="true" t="shared" si="16" ref="D74:T74">SUM(D60:D73)</f>
        <v>0</v>
      </c>
      <c r="E74" s="217">
        <f t="shared" si="16"/>
        <v>0</v>
      </c>
      <c r="F74" s="217"/>
      <c r="G74" s="217">
        <f t="shared" si="16"/>
        <v>0</v>
      </c>
      <c r="H74" s="217">
        <f t="shared" si="16"/>
        <v>0</v>
      </c>
      <c r="I74" s="217"/>
      <c r="J74" s="217">
        <f t="shared" si="16"/>
        <v>0</v>
      </c>
      <c r="K74" s="217">
        <f t="shared" si="16"/>
        <v>0</v>
      </c>
      <c r="L74" s="217"/>
      <c r="M74" s="217">
        <f t="shared" si="16"/>
        <v>0</v>
      </c>
      <c r="N74" s="217">
        <f t="shared" si="16"/>
        <v>0</v>
      </c>
      <c r="O74" s="217"/>
      <c r="P74" s="217">
        <f t="shared" si="16"/>
        <v>0</v>
      </c>
      <c r="Q74" s="217">
        <f t="shared" si="16"/>
        <v>0</v>
      </c>
      <c r="R74" s="217">
        <f t="shared" si="16"/>
        <v>0</v>
      </c>
      <c r="S74" s="217">
        <f t="shared" si="16"/>
        <v>0</v>
      </c>
      <c r="T74" s="218">
        <f t="shared" si="16"/>
        <v>0</v>
      </c>
    </row>
    <row r="75" spans="1:20" ht="24.75" customHeight="1" hidden="1">
      <c r="A75" s="506" t="s">
        <v>381</v>
      </c>
      <c r="B75" s="512" t="s">
        <v>435</v>
      </c>
      <c r="C75" s="207" t="s">
        <v>420</v>
      </c>
      <c r="D75" s="208">
        <f>COUNTIF('様式4'!$AI$4:$AI$303,"1貨3")</f>
        <v>0</v>
      </c>
      <c r="E75" s="208">
        <f>COUNTIF('様式4'!$AO$4:$AO$303,"1貨32002")</f>
        <v>0</v>
      </c>
      <c r="F75" s="208" t="str">
        <f>IF(E75&gt;0,ROUND(SUMIF('様式4'!$AO$4:$AO$303,"=1貨32002",'様式4'!$AP$4:$AP$303)/E75,0)," ")</f>
        <v> </v>
      </c>
      <c r="G75" s="208">
        <f>COUNTIF('様式4'!$AR$4:$AR$303,"1貨32002")</f>
        <v>0</v>
      </c>
      <c r="H75" s="208">
        <f>COUNTIF('様式4'!$AO$4:$AO$303,"1貨32003")</f>
        <v>0</v>
      </c>
      <c r="I75" s="208" t="str">
        <f>IF(H75&gt;0,ROUND(SUMIF('様式4'!$AO$4:$AO$303,"=1貨32003",'様式4'!$AP$4:$AP$303)/H75,0)," ")</f>
        <v> </v>
      </c>
      <c r="J75" s="208">
        <f>COUNTIF('様式4'!$AR$4:$AR$303,"1貨32003")</f>
        <v>0</v>
      </c>
      <c r="K75" s="208">
        <f>COUNTIF('様式4'!$AO$4:$AO$303,"1貨32004")</f>
        <v>0</v>
      </c>
      <c r="L75" s="208" t="str">
        <f>IF(K75&gt;0,ROUND(SUMIF('様式4'!$AO$4:$AO$303,"=1貨32004",'様式4'!$AP$4:$AP$303)/K75,0)," ")</f>
        <v> </v>
      </c>
      <c r="M75" s="208">
        <f>COUNTIF('様式4'!$AR$4:$AR$303,"1貨32004")</f>
        <v>0</v>
      </c>
      <c r="N75" s="208">
        <f>COUNTIF('様式4'!$AO$4:$AO$303,"1貨32005")</f>
        <v>0</v>
      </c>
      <c r="O75" s="208" t="str">
        <f>IF(N75&gt;0,ROUND(SUMIF('様式4'!$AO$4:$AO$303,"=1貨32005",'様式4'!$AP$4:$AP$303)/N75,0)," ")</f>
        <v> </v>
      </c>
      <c r="P75" s="208">
        <f>COUNTIF('様式4'!$AR$4:$AR$303,"1貨32005")</f>
        <v>0</v>
      </c>
      <c r="Q75" s="209">
        <f>COUNTIF('様式4'!$AR$4:$AR$303,"1貨3")-COUNTIF('様式4'!$AO$4:$AO$303,"1貨3")+'計算シート'!D27</f>
        <v>0</v>
      </c>
      <c r="R75" s="209">
        <f>E75+H75+K75+N75</f>
        <v>0</v>
      </c>
      <c r="S75" s="209">
        <f>G75+J75+M75+P75</f>
        <v>0</v>
      </c>
      <c r="T75" s="210">
        <f>D75+Q75-R75+S75</f>
        <v>0</v>
      </c>
    </row>
    <row r="76" spans="1:20" ht="24.75" customHeight="1" hidden="1">
      <c r="A76" s="510"/>
      <c r="B76" s="513"/>
      <c r="C76" s="201" t="s">
        <v>320</v>
      </c>
      <c r="D76" s="202">
        <f>COUNTIF('様式4'!$AI$4:$AI$303,"2貨3")</f>
        <v>0</v>
      </c>
      <c r="E76" s="202">
        <f>COUNTIF('様式4'!$AO$4:$AO$303,"2貨32002")</f>
        <v>0</v>
      </c>
      <c r="F76" s="202" t="str">
        <f>IF(E76&gt;0,ROUND(SUMIF('様式4'!$AO$4:$AO$303,"=2貨32002",'様式4'!$AP$4:$AP$303)/E76,0)," ")</f>
        <v> </v>
      </c>
      <c r="G76" s="202">
        <f>COUNTIF('様式4'!$AR$4:$AR$303,"2貨32002")</f>
        <v>0</v>
      </c>
      <c r="H76" s="202">
        <f>COUNTIF('様式4'!$AO$4:$AO$303,"2貨32003")</f>
        <v>0</v>
      </c>
      <c r="I76" s="202" t="str">
        <f>IF(H76&gt;0,ROUND(SUMIF('様式4'!$AO$4:$AO$303,"=2貨32003",'様式4'!$AP$4:$AP$303)/H76,0)," ")</f>
        <v> </v>
      </c>
      <c r="J76" s="202">
        <f>COUNTIF('様式4'!$AR$4:$AR$303,"2貨32003")</f>
        <v>0</v>
      </c>
      <c r="K76" s="202">
        <f>COUNTIF('様式4'!$AO$4:$AO$303,"2貨32004")</f>
        <v>0</v>
      </c>
      <c r="L76" s="202" t="str">
        <f>IF(K76&gt;0,ROUND(SUMIF('様式4'!$AO$4:$AO$303,"=2貨32004",'様式4'!$AP$4:$AP$303)/K76,0)," ")</f>
        <v> </v>
      </c>
      <c r="M76" s="202">
        <f>COUNTIF('様式4'!$AR$4:$AR$303,"2貨32004")</f>
        <v>0</v>
      </c>
      <c r="N76" s="202">
        <f>COUNTIF('様式4'!$AO$4:$AO$303,"2貨32005")</f>
        <v>0</v>
      </c>
      <c r="O76" s="202" t="str">
        <f>IF(N76&gt;0,ROUND(SUMIF('様式4'!$AO$4:$AO$303,"=2貨32005",'様式4'!$AP$4:$AP$303)/N76,0)," ")</f>
        <v> </v>
      </c>
      <c r="P76" s="202">
        <f>COUNTIF('様式4'!$AR$4:$AR$303,"2貨32005")</f>
        <v>0</v>
      </c>
      <c r="Q76" s="212">
        <f>COUNTIF('様式4'!$AR$4:$AR$303,"2貨3")-COUNTIF('様式4'!$AO$4:$AO$303,"2貨3")+'計算シート'!E27</f>
        <v>0</v>
      </c>
      <c r="R76" s="212">
        <f aca="true" t="shared" si="17" ref="R76:R86">E76+H76+K76+N76</f>
        <v>0</v>
      </c>
      <c r="S76" s="212">
        <f aca="true" t="shared" si="18" ref="S76:S87">G76+J76+M76+P76</f>
        <v>0</v>
      </c>
      <c r="T76" s="203">
        <f aca="true" t="shared" si="19" ref="T76:T87">D76+Q76-R76+S76</f>
        <v>0</v>
      </c>
    </row>
    <row r="77" spans="1:20" ht="24.75" customHeight="1" hidden="1">
      <c r="A77" s="510"/>
      <c r="B77" s="513"/>
      <c r="C77" s="201" t="s">
        <v>27</v>
      </c>
      <c r="D77" s="202">
        <f>COUNTIF('様式4'!$AI$4:$AI$303,"3貨3")</f>
        <v>0</v>
      </c>
      <c r="E77" s="202">
        <f>COUNTIF('様式4'!$AO$4:$AO$303,"3貨32002")</f>
        <v>0</v>
      </c>
      <c r="F77" s="202" t="str">
        <f>IF(E77&gt;0,ROUND(SUMIF('様式4'!$AO$4:$AO$303,"=3貨32002",'様式4'!$AP$4:$AP$303)/E77,0)," ")</f>
        <v> </v>
      </c>
      <c r="G77" s="202">
        <f>COUNTIF('様式4'!$AR$4:$AR$303,"3貨32002")</f>
        <v>0</v>
      </c>
      <c r="H77" s="202">
        <f>COUNTIF('様式4'!$AO$4:$AO$303,"3貨32003")</f>
        <v>0</v>
      </c>
      <c r="I77" s="202" t="str">
        <f>IF(H77&gt;0,ROUND(SUMIF('様式4'!$AO$4:$AO$303,"=3貨32003",'様式4'!$AP$4:$AP$303)/H77,0)," ")</f>
        <v> </v>
      </c>
      <c r="J77" s="202">
        <f>COUNTIF('様式4'!$AR$4:$AR$303,"3貨32003")</f>
        <v>0</v>
      </c>
      <c r="K77" s="202">
        <f>COUNTIF('様式4'!$AO$4:$AO$303,"3貨32004")</f>
        <v>0</v>
      </c>
      <c r="L77" s="202" t="str">
        <f>IF(K77&gt;0,ROUND(SUMIF('様式4'!$AO$4:$AO$303,"=3貨32004",'様式4'!$AP$4:$AP$303)/K77,0)," ")</f>
        <v> </v>
      </c>
      <c r="M77" s="202">
        <f>COUNTIF('様式4'!$AR$4:$AR$303,"3貨32004")</f>
        <v>0</v>
      </c>
      <c r="N77" s="202">
        <f>COUNTIF('様式4'!$AO$4:$AO$303,"3貨32005")</f>
        <v>0</v>
      </c>
      <c r="O77" s="202" t="str">
        <f>IF(N77&gt;0,ROUND(SUMIF('様式4'!$AO$4:$AO$303,"=3貨32005",'様式4'!$AP$4:$AP$303)/N77,0)," ")</f>
        <v> </v>
      </c>
      <c r="P77" s="202">
        <f>COUNTIF('様式4'!$AR$4:$AR$303,"3貨32005")</f>
        <v>0</v>
      </c>
      <c r="Q77" s="212">
        <f>COUNTIF('様式4'!$AR$4:$AR$303,"3貨3")-COUNTIF('様式4'!$AO$4:$AO$303,"3貨3")+'計算シート'!F27</f>
        <v>0</v>
      </c>
      <c r="R77" s="212">
        <f t="shared" si="17"/>
        <v>0</v>
      </c>
      <c r="S77" s="212">
        <f t="shared" si="18"/>
        <v>0</v>
      </c>
      <c r="T77" s="203">
        <f t="shared" si="19"/>
        <v>0</v>
      </c>
    </row>
    <row r="78" spans="1:20" ht="24.75" customHeight="1" hidden="1">
      <c r="A78" s="510"/>
      <c r="B78" s="513"/>
      <c r="C78" s="201" t="s">
        <v>419</v>
      </c>
      <c r="D78" s="202">
        <f>COUNTIF('様式4'!$AI$4:$AI$303,"4貨3")</f>
        <v>0</v>
      </c>
      <c r="E78" s="202">
        <f>COUNTIF('様式4'!$AO$4:$AO$303,"4貨32002")</f>
        <v>0</v>
      </c>
      <c r="F78" s="202" t="str">
        <f>IF(E78&gt;0,ROUND(SUMIF('様式4'!$AO$4:$AO$303,"=4貨32002",'様式4'!$AP$4:$AP$303)/E78,0)," ")</f>
        <v> </v>
      </c>
      <c r="G78" s="202">
        <f>COUNTIF('様式4'!$AR$4:$AR$303,"4貨32002")</f>
        <v>0</v>
      </c>
      <c r="H78" s="202">
        <f>COUNTIF('様式4'!$AO$4:$AO$303,"4貨32003")</f>
        <v>0</v>
      </c>
      <c r="I78" s="202" t="str">
        <f>IF(H78&gt;0,ROUND(SUMIF('様式4'!$AO$4:$AO$303,"=4貨32003",'様式4'!$AP$4:$AP$303)/H78,0)," ")</f>
        <v> </v>
      </c>
      <c r="J78" s="202">
        <f>COUNTIF('様式4'!$AR$4:$AR$303,"4貨32003")</f>
        <v>0</v>
      </c>
      <c r="K78" s="202">
        <f>COUNTIF('様式4'!$AO$4:$AO$303,"4貨32004")</f>
        <v>0</v>
      </c>
      <c r="L78" s="202" t="str">
        <f>IF(K78&gt;0,ROUND(SUMIF('様式4'!$AO$4:$AO$303,"=4貨32004",'様式4'!$AP$4:$AP$303)/K78,0)," ")</f>
        <v> </v>
      </c>
      <c r="M78" s="202">
        <f>COUNTIF('様式4'!$AR$4:$AR$303,"4貨32004")</f>
        <v>0</v>
      </c>
      <c r="N78" s="202">
        <f>COUNTIF('様式4'!$AO$4:$AO$303,"4貨32005")</f>
        <v>0</v>
      </c>
      <c r="O78" s="202" t="str">
        <f>IF(N78&gt;0,ROUND(SUMIF('様式4'!$AO$4:$AO$303,"=4貨32005",'様式4'!$AP$4:$AP$303)/N78,0)," ")</f>
        <v> </v>
      </c>
      <c r="P78" s="202">
        <f>COUNTIF('様式4'!$AR$4:$AR$303,"4貨32005")</f>
        <v>0</v>
      </c>
      <c r="Q78" s="212">
        <f>COUNTIF('様式4'!$AR$4:$AR$303,"4貨3")-COUNTIF('様式4'!$AO$4:$AO$303,"4貨3")+'計算シート'!G27</f>
        <v>0</v>
      </c>
      <c r="R78" s="212">
        <f t="shared" si="17"/>
        <v>0</v>
      </c>
      <c r="S78" s="212">
        <f t="shared" si="18"/>
        <v>0</v>
      </c>
      <c r="T78" s="203">
        <f t="shared" si="19"/>
        <v>0</v>
      </c>
    </row>
    <row r="79" spans="1:20" ht="24.75" customHeight="1" hidden="1">
      <c r="A79" s="510"/>
      <c r="B79" s="514"/>
      <c r="C79" s="201" t="s">
        <v>429</v>
      </c>
      <c r="D79" s="202">
        <f>COUNTIF('様式4'!$AI$4:$AI$303,"5貨3")</f>
        <v>0</v>
      </c>
      <c r="E79" s="202">
        <f>COUNTIF('様式4'!$AO$4:$AO$303,"5貨32002")</f>
        <v>0</v>
      </c>
      <c r="F79" s="202" t="str">
        <f>IF(E79&gt;0,ROUND(SUMIF('様式4'!$AO$4:$AO$303,"=5貨32002",'様式4'!$AP$4:$AP$303)/E79,0)," ")</f>
        <v> </v>
      </c>
      <c r="G79" s="202">
        <f>COUNTIF('様式4'!$AR$4:$AR$303,"5貨32002")</f>
        <v>0</v>
      </c>
      <c r="H79" s="202">
        <f>COUNTIF('様式4'!$AO$4:$AO$303,"5貨32003")</f>
        <v>0</v>
      </c>
      <c r="I79" s="202" t="str">
        <f>IF(H79&gt;0,ROUND(SUMIF('様式4'!$AO$4:$AO$303,"=5貨32003",'様式4'!$AP$4:$AP$303)/H79,0)," ")</f>
        <v> </v>
      </c>
      <c r="J79" s="202">
        <f>COUNTIF('様式4'!$AR$4:$AR$303,"5貨32003")</f>
        <v>0</v>
      </c>
      <c r="K79" s="202">
        <f>COUNTIF('様式4'!$AO$4:$AO$303,"5貨32004")</f>
        <v>0</v>
      </c>
      <c r="L79" s="202" t="str">
        <f>IF(K79&gt;0,ROUND(SUMIF('様式4'!$AO$4:$AO$303,"=5貨32004",'様式4'!$AP$4:$AP$303)/K79,0)," ")</f>
        <v> </v>
      </c>
      <c r="M79" s="202">
        <f>COUNTIF('様式4'!$AR$4:$AR$303,"5貨32004")</f>
        <v>0</v>
      </c>
      <c r="N79" s="202">
        <f>COUNTIF('様式4'!$AO$4:$AO$303,"5貨32005")</f>
        <v>0</v>
      </c>
      <c r="O79" s="202" t="str">
        <f>IF(N79&gt;0,ROUND(SUMIF('様式4'!$AO$4:$AO$303,"=5貨32005",'様式4'!$AP$4:$AP$303)/N79,0)," ")</f>
        <v> </v>
      </c>
      <c r="P79" s="202">
        <f>COUNTIF('様式4'!$AR$4:$AR$303,"5貨32005")</f>
        <v>0</v>
      </c>
      <c r="Q79" s="212">
        <f>COUNTIF('様式4'!$AR$4:$AR$303,"5貨3")-COUNTIF('様式4'!$AO$4:$AO$303,"5貨3")+'計算シート'!H27</f>
        <v>0</v>
      </c>
      <c r="R79" s="212">
        <f t="shared" si="17"/>
        <v>0</v>
      </c>
      <c r="S79" s="212">
        <f t="shared" si="18"/>
        <v>0</v>
      </c>
      <c r="T79" s="203">
        <f t="shared" si="19"/>
        <v>0</v>
      </c>
    </row>
    <row r="80" spans="1:20" ht="24.75" customHeight="1" hidden="1">
      <c r="A80" s="510"/>
      <c r="B80" s="515" t="s">
        <v>47</v>
      </c>
      <c r="C80" s="258" t="s">
        <v>7</v>
      </c>
      <c r="D80" s="202">
        <f>COUNTIF('様式4'!$AI$4:$AI$303,"6貨3")</f>
        <v>0</v>
      </c>
      <c r="E80" s="202">
        <f>COUNTIF('様式4'!$AO$4:$AO$303,"6貨32002")</f>
        <v>0</v>
      </c>
      <c r="F80" s="202" t="str">
        <f>IF(E80&gt;0,ROUND(SUMIF('様式4'!$AO$4:$AO$303,"=6貨32002",'様式4'!$AP$4:$AP$303)/E80,0)," ")</f>
        <v> </v>
      </c>
      <c r="G80" s="202">
        <f>COUNTIF('様式4'!$AR$4:$AR$303,"6貨32002")</f>
        <v>0</v>
      </c>
      <c r="H80" s="202">
        <f>COUNTIF('様式4'!$AO$4:$AO$303,"6貨32003")</f>
        <v>0</v>
      </c>
      <c r="I80" s="202" t="str">
        <f>IF(H80&gt;0,ROUND(SUMIF('様式4'!$AO$4:$AO$303,"=6貨32003",'様式4'!$AP$4:$AP$303)/H80,0)," ")</f>
        <v> </v>
      </c>
      <c r="J80" s="202">
        <f>COUNTIF('様式4'!$AR$4:$AR$303,"6貨32003")</f>
        <v>0</v>
      </c>
      <c r="K80" s="202">
        <f>COUNTIF('様式4'!$AO$4:$AO$303,"6貨32004")</f>
        <v>0</v>
      </c>
      <c r="L80" s="202" t="str">
        <f>IF(K80&gt;0,ROUND(SUMIF('様式4'!$AO$4:$AO$303,"=6貨32004",'様式4'!$AP$4:$AP$303)/K80,0)," ")</f>
        <v> </v>
      </c>
      <c r="M80" s="202">
        <f>COUNTIF('様式4'!$AR$4:$AR$303,"6貨32004")</f>
        <v>0</v>
      </c>
      <c r="N80" s="202">
        <f>COUNTIF('様式4'!$AO$4:$AO$303,"6貨32005")</f>
        <v>0</v>
      </c>
      <c r="O80" s="202" t="str">
        <f>IF(N80&gt;0,ROUND(SUMIF('様式4'!$AO$4:$AO$303,"=6貨32005",'様式4'!$AP$4:$AP$303)/N80,0)," ")</f>
        <v> </v>
      </c>
      <c r="P80" s="202">
        <f>COUNTIF('様式4'!$AR$4:$AR$303,"6貨32005")</f>
        <v>0</v>
      </c>
      <c r="Q80" s="212">
        <f>COUNTIF('様式4'!$AR$4:$AR$303,"6貨3")-COUNTIF('様式4'!$AO$4:$AO$303,"6貨3")+'計算シート'!I27</f>
        <v>0</v>
      </c>
      <c r="R80" s="212">
        <f t="shared" si="17"/>
        <v>0</v>
      </c>
      <c r="S80" s="212">
        <f t="shared" si="18"/>
        <v>0</v>
      </c>
      <c r="T80" s="203">
        <f t="shared" si="19"/>
        <v>0</v>
      </c>
    </row>
    <row r="81" spans="1:20" ht="24.75" customHeight="1" hidden="1">
      <c r="A81" s="510"/>
      <c r="B81" s="513"/>
      <c r="C81" s="258" t="s">
        <v>8</v>
      </c>
      <c r="D81" s="202">
        <f>COUNTIF('様式4'!$AI$4:$AI$303,"7貨3")</f>
        <v>0</v>
      </c>
      <c r="E81" s="202">
        <f>COUNTIF('様式4'!$AO$4:$AO$303,"7貨32002")</f>
        <v>0</v>
      </c>
      <c r="F81" s="202" t="str">
        <f>IF(E81&gt;0,ROUND(SUMIF('様式4'!$AO$4:$AO$303,"=7貨32002",'様式4'!$AP$4:$AP$303)/E81,0)," ")</f>
        <v> </v>
      </c>
      <c r="G81" s="202">
        <f>COUNTIF('様式4'!$AR$4:$AR$303,"7貨32002")</f>
        <v>0</v>
      </c>
      <c r="H81" s="202">
        <f>COUNTIF('様式4'!$AO$4:$AO$303,"7貨32003")</f>
        <v>0</v>
      </c>
      <c r="I81" s="202" t="str">
        <f>IF(H81&gt;0,ROUND(SUMIF('様式4'!$AO$4:$AO$303,"=7貨32003",'様式4'!$AP$4:$AP$303)/H81,0)," ")</f>
        <v> </v>
      </c>
      <c r="J81" s="202">
        <f>COUNTIF('様式4'!$AR$4:$AR$303,"7貨32003")</f>
        <v>0</v>
      </c>
      <c r="K81" s="202">
        <f>COUNTIF('様式4'!$AO$4:$AO$303,"7貨32004")</f>
        <v>0</v>
      </c>
      <c r="L81" s="202" t="str">
        <f>IF(K81&gt;0,ROUND(SUMIF('様式4'!$AO$4:$AO$303,"=7貨32004",'様式4'!$AP$4:$AP$303)/K81,0)," ")</f>
        <v> </v>
      </c>
      <c r="M81" s="202">
        <f>COUNTIF('様式4'!$AR$4:$AR$303,"7貨32004")</f>
        <v>0</v>
      </c>
      <c r="N81" s="202">
        <f>COUNTIF('様式4'!$AO$4:$AO$303,"7貨32005")</f>
        <v>0</v>
      </c>
      <c r="O81" s="202" t="str">
        <f>IF(N81&gt;0,ROUND(SUMIF('様式4'!$AO$4:$AO$303,"=7貨32005",'様式4'!$AP$4:$AP$303)/N81,0)," ")</f>
        <v> </v>
      </c>
      <c r="P81" s="202">
        <f>COUNTIF('様式4'!$AR$4:$AR$303,"7貨32005")</f>
        <v>0</v>
      </c>
      <c r="Q81" s="212">
        <f>COUNTIF('様式4'!$AR$4:$AR$303,"7貨3")-COUNTIF('様式4'!$AO$4:$AO$303,"7貨3")+'計算シート'!J27</f>
        <v>0</v>
      </c>
      <c r="R81" s="212">
        <f t="shared" si="17"/>
        <v>0</v>
      </c>
      <c r="S81" s="212">
        <f t="shared" si="18"/>
        <v>0</v>
      </c>
      <c r="T81" s="203">
        <f t="shared" si="19"/>
        <v>0</v>
      </c>
    </row>
    <row r="82" spans="1:20" ht="24.75" customHeight="1" hidden="1">
      <c r="A82" s="510"/>
      <c r="B82" s="513"/>
      <c r="C82" s="258" t="s">
        <v>9</v>
      </c>
      <c r="D82" s="202">
        <f>COUNTIF('様式4'!$AI$4:$AI$303,"8貨3")</f>
        <v>0</v>
      </c>
      <c r="E82" s="202">
        <f>COUNTIF('様式4'!$AO$4:$AO$303,"8貨32002")</f>
        <v>0</v>
      </c>
      <c r="F82" s="202" t="str">
        <f>IF(E82&gt;0,ROUND(SUMIF('様式4'!$AO$4:$AO$303,"=8貨32002",'様式4'!$AP$4:$AP$303)/E82,0)," ")</f>
        <v> </v>
      </c>
      <c r="G82" s="202">
        <f>COUNTIF('様式4'!$AR$4:$AR$303,"8貨32002")</f>
        <v>0</v>
      </c>
      <c r="H82" s="202">
        <f>COUNTIF('様式4'!$AO$4:$AO$303,"8貨32003")</f>
        <v>0</v>
      </c>
      <c r="I82" s="202" t="str">
        <f>IF(H82&gt;0,ROUND(SUMIF('様式4'!$AO$4:$AO$303,"=8貨32003",'様式4'!$AP$4:$AP$303)/H82,0)," ")</f>
        <v> </v>
      </c>
      <c r="J82" s="202">
        <f>COUNTIF('様式4'!$AR$4:$AR$303,"8貨32003")</f>
        <v>0</v>
      </c>
      <c r="K82" s="202">
        <f>COUNTIF('様式4'!$AO$4:$AO$303,"8貨32004")</f>
        <v>0</v>
      </c>
      <c r="L82" s="202" t="str">
        <f>IF(K82&gt;0,ROUND(SUMIF('様式4'!$AO$4:$AO$303,"=8貨32004",'様式4'!$AP$4:$AP$303)/K82,0)," ")</f>
        <v> </v>
      </c>
      <c r="M82" s="202">
        <f>COUNTIF('様式4'!$AR$4:$AR$303,"8貨32004")</f>
        <v>0</v>
      </c>
      <c r="N82" s="202">
        <f>COUNTIF('様式4'!$AO$4:$AO$303,"8貨32005")</f>
        <v>0</v>
      </c>
      <c r="O82" s="202" t="str">
        <f>IF(N82&gt;0,ROUND(SUMIF('様式4'!$AO$4:$AO$303,"=8貨32005",'様式4'!$AP$4:$AP$303)/N82,0)," ")</f>
        <v> </v>
      </c>
      <c r="P82" s="202">
        <f>COUNTIF('様式4'!$AR$4:$AR$303,"8貨32005")</f>
        <v>0</v>
      </c>
      <c r="Q82" s="212">
        <f>COUNTIF('様式4'!$AR$4:$AR$303,"8貨3")-COUNTIF('様式4'!$AO$4:$AO$303,"8貨3")+'計算シート'!K27</f>
        <v>0</v>
      </c>
      <c r="R82" s="212">
        <f t="shared" si="17"/>
        <v>0</v>
      </c>
      <c r="S82" s="212">
        <f t="shared" si="18"/>
        <v>0</v>
      </c>
      <c r="T82" s="203">
        <f t="shared" si="19"/>
        <v>0</v>
      </c>
    </row>
    <row r="83" spans="1:20" ht="24.75" customHeight="1" hidden="1">
      <c r="A83" s="510"/>
      <c r="B83" s="513"/>
      <c r="C83" s="258" t="s">
        <v>10</v>
      </c>
      <c r="D83" s="202">
        <f>COUNTIF('様式4'!$AI$4:$AI$303,"9貨3")</f>
        <v>0</v>
      </c>
      <c r="E83" s="202">
        <f>COUNTIF('様式4'!$AO$4:$AO$303,"9貨32002")</f>
        <v>0</v>
      </c>
      <c r="F83" s="202" t="str">
        <f>IF(E83&gt;0,ROUND(SUMIF('様式4'!$AO$4:$AO$303,"=9貨32002",'様式4'!$AP$4:$AP$303)/E83,0)," ")</f>
        <v> </v>
      </c>
      <c r="G83" s="202">
        <f>COUNTIF('様式4'!$AR$4:$AR$303,"9貨32002")</f>
        <v>0</v>
      </c>
      <c r="H83" s="202">
        <f>COUNTIF('様式4'!$AO$4:$AO$303,"9貨32003")</f>
        <v>0</v>
      </c>
      <c r="I83" s="202" t="str">
        <f>IF(H83&gt;0,ROUND(SUMIF('様式4'!$AO$4:$AO$303,"=9貨32003",'様式4'!$AP$4:$AP$303)/H83,0)," ")</f>
        <v> </v>
      </c>
      <c r="J83" s="202">
        <f>COUNTIF('様式4'!$AR$4:$AR$303,"9貨32003")</f>
        <v>0</v>
      </c>
      <c r="K83" s="202">
        <f>COUNTIF('様式4'!$AO$4:$AO$303,"9貨32004")</f>
        <v>0</v>
      </c>
      <c r="L83" s="202" t="str">
        <f>IF(K83&gt;0,ROUND(SUMIF('様式4'!$AO$4:$AO$303,"=9貨32004",'様式4'!$AP$4:$AP$303)/K83,0)," ")</f>
        <v> </v>
      </c>
      <c r="M83" s="202">
        <f>COUNTIF('様式4'!$AR$4:$AR$303,"9貨32004")</f>
        <v>0</v>
      </c>
      <c r="N83" s="202">
        <f>COUNTIF('様式4'!$AO$4:$AO$303,"9貨32005")</f>
        <v>0</v>
      </c>
      <c r="O83" s="202" t="str">
        <f>IF(N83&gt;0,ROUND(SUMIF('様式4'!$AO$4:$AO$303,"=9貨32005",'様式4'!$AP$4:$AP$303)/N83,0)," ")</f>
        <v> </v>
      </c>
      <c r="P83" s="202">
        <f>COUNTIF('様式4'!$AR$4:$AR$303,"9貨32005")</f>
        <v>0</v>
      </c>
      <c r="Q83" s="212">
        <f>COUNTIF('様式4'!$AR$4:$AR$303,"9貨3")-COUNTIF('様式4'!$AO$4:$AO$303,"9貨3")+'計算シート'!L27</f>
        <v>0</v>
      </c>
      <c r="R83" s="212">
        <f t="shared" si="17"/>
        <v>0</v>
      </c>
      <c r="S83" s="212">
        <f t="shared" si="18"/>
        <v>0</v>
      </c>
      <c r="T83" s="203">
        <f t="shared" si="19"/>
        <v>0</v>
      </c>
    </row>
    <row r="84" spans="1:20" ht="24.75" customHeight="1" hidden="1">
      <c r="A84" s="510"/>
      <c r="B84" s="513"/>
      <c r="C84" s="258" t="s">
        <v>416</v>
      </c>
      <c r="D84" s="202">
        <f>COUNTIF('様式4'!$AI$4:$AI$303,"10貨3")</f>
        <v>0</v>
      </c>
      <c r="E84" s="202">
        <f>COUNTIF('様式4'!$AO$4:$AO$303,"10貨32002")</f>
        <v>0</v>
      </c>
      <c r="F84" s="202" t="str">
        <f>IF(E84&gt;0,ROUND(SUMIF('様式4'!$AO$4:$AO$303,"=10貨32002",'様式4'!$AP$4:$AP$303)/E84,0)," ")</f>
        <v> </v>
      </c>
      <c r="G84" s="202">
        <f>COUNTIF('様式4'!$AR$4:$AR$303,"10貨32002")</f>
        <v>0</v>
      </c>
      <c r="H84" s="202">
        <f>COUNTIF('様式4'!$AO$4:$AO$303,"10貨32003")</f>
        <v>0</v>
      </c>
      <c r="I84" s="202" t="str">
        <f>IF(H84&gt;0,ROUND(SUMIF('様式4'!$AO$4:$AO$303,"=10貨32003",'様式4'!$AP$4:$AP$303)/H84,0)," ")</f>
        <v> </v>
      </c>
      <c r="J84" s="202">
        <f>COUNTIF('様式4'!$AR$4:$AR$303,"10貨32003")</f>
        <v>0</v>
      </c>
      <c r="K84" s="202">
        <f>COUNTIF('様式4'!$AO$4:$AO$303,"10貨32004")</f>
        <v>0</v>
      </c>
      <c r="L84" s="202" t="str">
        <f>IF(K84&gt;0,ROUND(SUMIF('様式4'!$AO$4:$AO$303,"=10貨32004",'様式4'!$AP$4:$AP$303)/K84,0)," ")</f>
        <v> </v>
      </c>
      <c r="M84" s="202">
        <f>COUNTIF('様式4'!$AR$4:$AR$303,"10貨32004")</f>
        <v>0</v>
      </c>
      <c r="N84" s="202">
        <f>COUNTIF('様式4'!$AO$4:$AO$303,"10貨32005")</f>
        <v>0</v>
      </c>
      <c r="O84" s="202" t="str">
        <f>IF(N84&gt;0,ROUND(SUMIF('様式4'!$AO$4:$AO$303,"=10貨32005",'様式4'!$AP$4:$AP$303)/N84,0)," ")</f>
        <v> </v>
      </c>
      <c r="P84" s="202">
        <f>COUNTIF('様式4'!$AR$4:$AR$303,"10貨32005")</f>
        <v>0</v>
      </c>
      <c r="Q84" s="212">
        <f>COUNTIF('様式4'!$AR$4:$AR$303,"10貨3")-COUNTIF('様式4'!$AO$4:$AO$303,"10貨3")+'計算シート'!M27</f>
        <v>0</v>
      </c>
      <c r="R84" s="212">
        <f t="shared" si="17"/>
        <v>0</v>
      </c>
      <c r="S84" s="212">
        <f t="shared" si="18"/>
        <v>0</v>
      </c>
      <c r="T84" s="203">
        <f t="shared" si="19"/>
        <v>0</v>
      </c>
    </row>
    <row r="85" spans="1:20" ht="24.75" customHeight="1" hidden="1">
      <c r="A85" s="510"/>
      <c r="B85" s="514"/>
      <c r="C85" s="258" t="s">
        <v>11</v>
      </c>
      <c r="D85" s="202">
        <f>COUNTIF('様式4'!$AI$4:$AI$303,"11貨3")</f>
        <v>0</v>
      </c>
      <c r="E85" s="202">
        <f>COUNTIF('様式4'!$AO$4:$AO$303,"11貨32002")</f>
        <v>0</v>
      </c>
      <c r="F85" s="202" t="str">
        <f>IF(E85&gt;0,ROUND(SUMIF('様式4'!$AO$4:$AO$303,"=11貨32002",'様式4'!$AP$4:$AP$303)/E85,0)," ")</f>
        <v> </v>
      </c>
      <c r="G85" s="202">
        <f>COUNTIF('様式4'!$AR$4:$AR$303,"11貨32002")</f>
        <v>0</v>
      </c>
      <c r="H85" s="202">
        <f>COUNTIF('様式4'!$AO$4:$AO$303,"11貨32003")</f>
        <v>0</v>
      </c>
      <c r="I85" s="202" t="str">
        <f>IF(H85&gt;0,ROUND(SUMIF('様式4'!$AO$4:$AO$303,"=11貨32003",'様式4'!$AP$4:$AP$303)/H85,0)," ")</f>
        <v> </v>
      </c>
      <c r="J85" s="202">
        <f>COUNTIF('様式4'!$AR$4:$AR$303,"11貨32003")</f>
        <v>0</v>
      </c>
      <c r="K85" s="202">
        <f>COUNTIF('様式4'!$AO$4:$AO$303,"11貨32004")</f>
        <v>0</v>
      </c>
      <c r="L85" s="202" t="str">
        <f>IF(K85&gt;0,ROUND(SUMIF('様式4'!$AO$4:$AO$303,"=11貨32004",'様式4'!$AP$4:$AP$303)/K85,0)," ")</f>
        <v> </v>
      </c>
      <c r="M85" s="202">
        <f>COUNTIF('様式4'!$AR$4:$AR$303,"11貨32004")</f>
        <v>0</v>
      </c>
      <c r="N85" s="202">
        <f>COUNTIF('様式4'!$AO$4:$AO$303,"11貨32005")</f>
        <v>0</v>
      </c>
      <c r="O85" s="202" t="str">
        <f>IF(N85&gt;0,ROUND(SUMIF('様式4'!$AO$4:$AO$303,"=11貨32005",'様式4'!$AP$4:$AP$303)/N85,0)," ")</f>
        <v> </v>
      </c>
      <c r="P85" s="202">
        <f>COUNTIF('様式4'!$AR$4:$AR$303,"11貨32005")</f>
        <v>0</v>
      </c>
      <c r="Q85" s="212">
        <f>COUNTIF('様式4'!$AR$4:$AR$303,"11貨3")-COUNTIF('様式4'!$AO$4:$AO$303,"11貨3")+'計算シート'!N27</f>
        <v>0</v>
      </c>
      <c r="R85" s="212">
        <f t="shared" si="17"/>
        <v>0</v>
      </c>
      <c r="S85" s="212">
        <f t="shared" si="18"/>
        <v>0</v>
      </c>
      <c r="T85" s="203">
        <f t="shared" si="19"/>
        <v>0</v>
      </c>
    </row>
    <row r="86" spans="1:20" ht="24.75" customHeight="1" hidden="1">
      <c r="A86" s="510"/>
      <c r="B86" s="515" t="s">
        <v>334</v>
      </c>
      <c r="C86" s="201" t="s">
        <v>323</v>
      </c>
      <c r="D86" s="202">
        <f>COUNTIF('様式4'!$AI$4:$AI$303,"12貨3")</f>
        <v>0</v>
      </c>
      <c r="E86" s="202">
        <f>COUNTIF('様式4'!$AO$4:$AO$303,"12貨32002")</f>
        <v>0</v>
      </c>
      <c r="F86" s="202" t="str">
        <f>IF(E86&gt;0,ROUND(SUMIF('様式4'!$AO$4:$AO$303,"=12貨32002",'様式4'!$AP$4:$AP$303)/E86,0)," ")</f>
        <v> </v>
      </c>
      <c r="G86" s="202">
        <f>COUNTIF('様式4'!$AR$4:$AR$303,"12貨32002")</f>
        <v>0</v>
      </c>
      <c r="H86" s="202">
        <f>COUNTIF('様式4'!$AO$4:$AO$303,"12貨32003")</f>
        <v>0</v>
      </c>
      <c r="I86" s="202" t="str">
        <f>IF(H86&gt;0,ROUND(SUMIF('様式4'!$AO$4:$AO$303,"=12貨32003",'様式4'!$AP$4:$AP$303)/H86,0)," ")</f>
        <v> </v>
      </c>
      <c r="J86" s="202">
        <f>COUNTIF('様式4'!$AR$4:$AR$303,"12貨32003")</f>
        <v>0</v>
      </c>
      <c r="K86" s="202">
        <f>COUNTIF('様式4'!$AO$4:$AO$303,"12貨32004")</f>
        <v>0</v>
      </c>
      <c r="L86" s="202" t="str">
        <f>IF(K86&gt;0,ROUND(SUMIF('様式4'!$AO$4:$AO$303,"=12貨32004",'様式4'!$AP$4:$AP$303)/K86,0)," ")</f>
        <v> </v>
      </c>
      <c r="M86" s="202">
        <f>COUNTIF('様式4'!$AR$4:$AR$303,"12貨32004")</f>
        <v>0</v>
      </c>
      <c r="N86" s="202">
        <f>COUNTIF('様式4'!$AO$4:$AO$303,"12貨32005")</f>
        <v>0</v>
      </c>
      <c r="O86" s="202" t="str">
        <f>IF(N86&gt;0,ROUND(SUMIF('様式4'!$AO$4:$AO$303,"=12貨32005",'様式4'!$AP$4:$AP$303)/N86,0)," ")</f>
        <v> </v>
      </c>
      <c r="P86" s="202">
        <f>COUNTIF('様式4'!$AR$4:$AR$303,"12貨32005")</f>
        <v>0</v>
      </c>
      <c r="Q86" s="212">
        <f>COUNTIF('様式4'!$AR$4:$AR$303,"12貨3")-COUNTIF('様式4'!$AO$4:$AO$303,"12貨3")+'計算シート'!O27</f>
        <v>0</v>
      </c>
      <c r="R86" s="212">
        <f t="shared" si="17"/>
        <v>0</v>
      </c>
      <c r="S86" s="212">
        <f t="shared" si="18"/>
        <v>0</v>
      </c>
      <c r="T86" s="203">
        <f t="shared" si="19"/>
        <v>0</v>
      </c>
    </row>
    <row r="87" spans="1:20" ht="24.75" customHeight="1" hidden="1">
      <c r="A87" s="510"/>
      <c r="B87" s="514"/>
      <c r="C87" s="201" t="s">
        <v>408</v>
      </c>
      <c r="D87" s="202">
        <f>COUNTIF('様式4'!$AI$4:$AI$303,"13貨3")</f>
        <v>0</v>
      </c>
      <c r="E87" s="202">
        <f>COUNTIF('様式4'!$AO$4:$AO$303,"13貨32002")</f>
        <v>0</v>
      </c>
      <c r="F87" s="202" t="str">
        <f>IF(E87&gt;0,ROUND(SUMIF('様式4'!$AO$4:$AO$303,"=13貨32002",'様式4'!$AP$4:$AP$303)/E87,0)," ")</f>
        <v> </v>
      </c>
      <c r="G87" s="202">
        <f>COUNTIF('様式4'!$AR$4:$AR$303,"13貨32002")</f>
        <v>0</v>
      </c>
      <c r="H87" s="202">
        <f>COUNTIF('様式4'!$AO$4:$AO$303,"13貨32003")</f>
        <v>0</v>
      </c>
      <c r="I87" s="202" t="str">
        <f>IF(H87&gt;0,ROUND(SUMIF('様式4'!$AO$4:$AO$303,"=13貨32003",'様式4'!$AP$4:$AP$303)/H87,0)," ")</f>
        <v> </v>
      </c>
      <c r="J87" s="202">
        <f>COUNTIF('様式4'!$AR$4:$AR$303,"13貨32003")</f>
        <v>0</v>
      </c>
      <c r="K87" s="202">
        <f>COUNTIF('様式4'!$AO$4:$AO$303,"13貨32004")</f>
        <v>0</v>
      </c>
      <c r="L87" s="202" t="str">
        <f>IF(K87&gt;0,ROUND(SUMIF('様式4'!$AO$4:$AO$303,"=13貨32004",'様式4'!$AP$4:$AP$303)/K87,0)," ")</f>
        <v> </v>
      </c>
      <c r="M87" s="202">
        <f>COUNTIF('様式4'!$AR$4:$AR$303,"13貨32004")</f>
        <v>0</v>
      </c>
      <c r="N87" s="202">
        <f>COUNTIF('様式4'!$AO$4:$AO$303,"13貨32005")</f>
        <v>0</v>
      </c>
      <c r="O87" s="202" t="str">
        <f>IF(N87&gt;0,ROUND(SUMIF('様式4'!$AO$4:$AO$303,"=13貨32005",'様式4'!$AP$4:$AP$303)/N87,0)," ")</f>
        <v> </v>
      </c>
      <c r="P87" s="202">
        <f>COUNTIF('様式4'!$AR$4:$AR$303,"13貨32005")</f>
        <v>0</v>
      </c>
      <c r="Q87" s="212">
        <f>COUNTIF('様式4'!$AR$4:$AR$303,"13貨3")-COUNTIF('様式4'!$AO$4:$AO$303,"13貨3")+'計算シート'!P27</f>
        <v>0</v>
      </c>
      <c r="R87" s="212">
        <f>E87+H87+K87+N87</f>
        <v>0</v>
      </c>
      <c r="S87" s="212">
        <f t="shared" si="18"/>
        <v>0</v>
      </c>
      <c r="T87" s="203">
        <f t="shared" si="19"/>
        <v>0</v>
      </c>
    </row>
    <row r="88" spans="1:20" ht="24.75" customHeight="1" hidden="1">
      <c r="A88" s="510"/>
      <c r="B88" s="51"/>
      <c r="C88" s="68" t="s">
        <v>432</v>
      </c>
      <c r="D88" s="214"/>
      <c r="E88" s="214"/>
      <c r="F88" s="214"/>
      <c r="G88" s="202">
        <f>COUNTIF('様式4'!$AR$4:$AR$303,"貨32002")</f>
        <v>0</v>
      </c>
      <c r="H88" s="214"/>
      <c r="I88" s="214"/>
      <c r="J88" s="202">
        <f>COUNTIF('様式4'!$AR$4:$AR$303,"貨32003")</f>
        <v>0</v>
      </c>
      <c r="K88" s="214"/>
      <c r="L88" s="214"/>
      <c r="M88" s="202">
        <f>COUNTIF('様式4'!$AR$4:$AR$303,"貨32004")</f>
        <v>0</v>
      </c>
      <c r="N88" s="214"/>
      <c r="O88" s="214"/>
      <c r="P88" s="202">
        <f>COUNTIF('様式4'!$AR$4:$AR$303,"貨32005")</f>
        <v>0</v>
      </c>
      <c r="Q88" s="212">
        <f>'計算シート'!S27</f>
        <v>0</v>
      </c>
      <c r="R88" s="215"/>
      <c r="S88" s="212"/>
      <c r="T88" s="203">
        <f>Q88</f>
        <v>0</v>
      </c>
    </row>
    <row r="89" spans="1:20" ht="24.75" customHeight="1" hidden="1" thickBot="1">
      <c r="A89" s="511"/>
      <c r="B89" s="60"/>
      <c r="C89" s="69" t="s">
        <v>594</v>
      </c>
      <c r="D89" s="217">
        <f aca="true" t="shared" si="20" ref="D89:T89">SUM(D75:D88)</f>
        <v>0</v>
      </c>
      <c r="E89" s="217">
        <f t="shared" si="20"/>
        <v>0</v>
      </c>
      <c r="F89" s="217"/>
      <c r="G89" s="217">
        <f t="shared" si="20"/>
        <v>0</v>
      </c>
      <c r="H89" s="217">
        <f t="shared" si="20"/>
        <v>0</v>
      </c>
      <c r="I89" s="217"/>
      <c r="J89" s="217">
        <f t="shared" si="20"/>
        <v>0</v>
      </c>
      <c r="K89" s="217">
        <f t="shared" si="20"/>
        <v>0</v>
      </c>
      <c r="L89" s="217"/>
      <c r="M89" s="217">
        <f t="shared" si="20"/>
        <v>0</v>
      </c>
      <c r="N89" s="217">
        <f t="shared" si="20"/>
        <v>0</v>
      </c>
      <c r="O89" s="217"/>
      <c r="P89" s="217">
        <f t="shared" si="20"/>
        <v>0</v>
      </c>
      <c r="Q89" s="217">
        <f t="shared" si="20"/>
        <v>0</v>
      </c>
      <c r="R89" s="217">
        <f t="shared" si="20"/>
        <v>0</v>
      </c>
      <c r="S89" s="217">
        <f t="shared" si="20"/>
        <v>0</v>
      </c>
      <c r="T89" s="218">
        <f t="shared" si="20"/>
        <v>0</v>
      </c>
    </row>
    <row r="90" spans="1:20" ht="24.75" customHeight="1" hidden="1">
      <c r="A90" s="506" t="s">
        <v>366</v>
      </c>
      <c r="B90" s="512" t="s">
        <v>435</v>
      </c>
      <c r="C90" s="207" t="s">
        <v>420</v>
      </c>
      <c r="D90" s="208">
        <f>COUNTIF('様式4'!$AI$4:$AI$303,"1小")</f>
        <v>0</v>
      </c>
      <c r="E90" s="208">
        <f>COUNTIF('様式4'!$AO$4:$AO$303,"1小2002")</f>
        <v>0</v>
      </c>
      <c r="F90" s="208" t="str">
        <f>IF(E90&gt;0,ROUND(SUMIF('様式4'!$AO$4:$AO$303,"=1小2002",'様式4'!$AP$4:$AP$303)/E90,0)," ")</f>
        <v> </v>
      </c>
      <c r="G90" s="208">
        <f>COUNTIF('様式4'!$AR$4:$AR$303,"1小2002")</f>
        <v>0</v>
      </c>
      <c r="H90" s="208">
        <f>COUNTIF('様式4'!$AO$4:$AO$303,"1小2003")</f>
        <v>0</v>
      </c>
      <c r="I90" s="208" t="str">
        <f>IF(H90&gt;0,ROUND(SUMIF('様式4'!$AO$4:$AO$303,"=1小2003",'様式4'!$AP$4:$AP$303)/H90,0)," ")</f>
        <v> </v>
      </c>
      <c r="J90" s="208">
        <f>COUNTIF('様式4'!$AR$4:$AR$303,"1小2003")</f>
        <v>0</v>
      </c>
      <c r="K90" s="208">
        <f>COUNTIF('様式4'!$AO$4:$AO$303,"1小2004")</f>
        <v>0</v>
      </c>
      <c r="L90" s="208" t="str">
        <f>IF(K90&gt;0,ROUND(SUMIF('様式4'!$AO$4:$AO$303,"=1小2004",'様式4'!$AP$4:$AP$303)/K90,0)," ")</f>
        <v> </v>
      </c>
      <c r="M90" s="208">
        <f>COUNTIF('様式4'!$AR$4:$AR$303,"1小2004")</f>
        <v>0</v>
      </c>
      <c r="N90" s="208">
        <f>COUNTIF('様式4'!$AO$4:$AO$303,"1小2005")</f>
        <v>0</v>
      </c>
      <c r="O90" s="208" t="str">
        <f>IF(N90&gt;0,ROUND(SUMIF('様式4'!$AO$4:$AO$303,"=1小2005",'様式4'!$AP$4:$AP$303)/N90,0)," ")</f>
        <v> </v>
      </c>
      <c r="P90" s="208">
        <f>COUNTIF('様式4'!$AR$4:$AR$303,"1小2005")</f>
        <v>0</v>
      </c>
      <c r="Q90" s="209">
        <f>COUNTIF('様式4'!$AR$4:$AR$303,"1小")-COUNTIF('様式4'!$AO$4:$AO$303,"1小")+'計算シート'!D30</f>
        <v>0</v>
      </c>
      <c r="R90" s="209">
        <f>E90+H90+K90+N90</f>
        <v>0</v>
      </c>
      <c r="S90" s="209">
        <f>G90+J90+M90+P90</f>
        <v>0</v>
      </c>
      <c r="T90" s="210">
        <f>D90+Q90-R90+S90</f>
        <v>0</v>
      </c>
    </row>
    <row r="91" spans="1:20" ht="24.75" customHeight="1" hidden="1">
      <c r="A91" s="510"/>
      <c r="B91" s="513"/>
      <c r="C91" s="201" t="s">
        <v>320</v>
      </c>
      <c r="D91" s="202">
        <f>COUNTIF('様式4'!$AI$4:$AI$303,"2小")</f>
        <v>0</v>
      </c>
      <c r="E91" s="202">
        <f>COUNTIF('様式4'!$AO$4:$AO$303,"2小2002")</f>
        <v>0</v>
      </c>
      <c r="F91" s="202" t="str">
        <f>IF(E91&gt;0,ROUND(SUMIF('様式4'!$AO$4:$AO$303,"=2小2002",'様式4'!$AP$4:$AP$303)/E91,0)," ")</f>
        <v> </v>
      </c>
      <c r="G91" s="202">
        <f>COUNTIF('様式4'!$AR$4:$AR$303,"2小2002")</f>
        <v>0</v>
      </c>
      <c r="H91" s="202">
        <f>COUNTIF('様式4'!$AO$4:$AO$303,"2小2003")</f>
        <v>0</v>
      </c>
      <c r="I91" s="202" t="str">
        <f>IF(H91&gt;0,ROUND(SUMIF('様式4'!$AO$4:$AO$303,"=2小2003",'様式4'!$AP$4:$AP$303)/H91,0)," ")</f>
        <v> </v>
      </c>
      <c r="J91" s="202">
        <f>COUNTIF('様式4'!$AR$4:$AR$303,"2小2003")</f>
        <v>0</v>
      </c>
      <c r="K91" s="202">
        <f>COUNTIF('様式4'!$AO$4:$AO$303,"2小2004")</f>
        <v>0</v>
      </c>
      <c r="L91" s="202" t="str">
        <f>IF(K91&gt;0,ROUND(SUMIF('様式4'!$AO$4:$AO$303,"=2小2004",'様式4'!$AP$4:$AP$303)/K91,0)," ")</f>
        <v> </v>
      </c>
      <c r="M91" s="202">
        <f>COUNTIF('様式4'!$AR$4:$AR$303,"2小2004")</f>
        <v>0</v>
      </c>
      <c r="N91" s="202">
        <f>COUNTIF('様式4'!$AO$4:$AO$303,"2小2005")</f>
        <v>0</v>
      </c>
      <c r="O91" s="202" t="str">
        <f>IF(N91&gt;0,ROUND(SUMIF('様式4'!$AO$4:$AO$303,"=2小2005",'様式4'!$AP$4:$AP$303)/N91,0)," ")</f>
        <v> </v>
      </c>
      <c r="P91" s="202">
        <f>COUNTIF('様式4'!$AR$4:$AR$303,"2小2005")</f>
        <v>0</v>
      </c>
      <c r="Q91" s="212">
        <f>COUNTIF('様式4'!$AR$4:$AR$303,"2小")-COUNTIF('様式4'!$AO$4:$AO$303,"2小")+'計算シート'!E30</f>
        <v>0</v>
      </c>
      <c r="R91" s="212">
        <f aca="true" t="shared" si="21" ref="R91:R102">E91+H91+K91+N91</f>
        <v>0</v>
      </c>
      <c r="S91" s="212">
        <f aca="true" t="shared" si="22" ref="S91:S102">G91+J91+M91+P91</f>
        <v>0</v>
      </c>
      <c r="T91" s="203">
        <f aca="true" t="shared" si="23" ref="T91:T102">D91+Q91-R91+S91</f>
        <v>0</v>
      </c>
    </row>
    <row r="92" spans="1:20" ht="24.75" customHeight="1" hidden="1">
      <c r="A92" s="510"/>
      <c r="B92" s="513"/>
      <c r="C92" s="201" t="s">
        <v>27</v>
      </c>
      <c r="D92" s="202">
        <f>COUNTIF('様式4'!$AI$4:$AI$303,"3小")</f>
        <v>0</v>
      </c>
      <c r="E92" s="202">
        <f>COUNTIF('様式4'!$AO$4:$AO$303,"3小2002")</f>
        <v>0</v>
      </c>
      <c r="F92" s="202" t="str">
        <f>IF(E92&gt;0,ROUND(SUMIF('様式4'!$AO$4:$AO$303,"=3小2002",'様式4'!$AP$4:$AP$303)/E92,0)," ")</f>
        <v> </v>
      </c>
      <c r="G92" s="202">
        <f>COUNTIF('様式4'!$AR$4:$AR$303,"3小2002")</f>
        <v>0</v>
      </c>
      <c r="H92" s="202">
        <f>COUNTIF('様式4'!$AO$4:$AO$303,"3小2003")</f>
        <v>0</v>
      </c>
      <c r="I92" s="202" t="str">
        <f>IF(H92&gt;0,ROUND(SUMIF('様式4'!$AO$4:$AO$303,"=3小2003",'様式4'!$AP$4:$AP$303)/H92,0)," ")</f>
        <v> </v>
      </c>
      <c r="J92" s="202">
        <f>COUNTIF('様式4'!$AR$4:$AR$303,"3小2003")</f>
        <v>0</v>
      </c>
      <c r="K92" s="202">
        <f>COUNTIF('様式4'!$AO$4:$AO$303,"3小2004")</f>
        <v>0</v>
      </c>
      <c r="L92" s="202" t="str">
        <f>IF(K92&gt;0,ROUND(SUMIF('様式4'!$AO$4:$AO$303,"=3小2004",'様式4'!$AP$4:$AP$303)/K92,0)," ")</f>
        <v> </v>
      </c>
      <c r="M92" s="202">
        <f>COUNTIF('様式4'!$AR$4:$AR$303,"3小2004")</f>
        <v>0</v>
      </c>
      <c r="N92" s="202">
        <f>COUNTIF('様式4'!$AO$4:$AO$303,"3小2005")</f>
        <v>0</v>
      </c>
      <c r="O92" s="202" t="str">
        <f>IF(N92&gt;0,ROUND(SUMIF('様式4'!$AO$4:$AO$303,"=3小2005",'様式4'!$AP$4:$AP$303)/N92,0)," ")</f>
        <v> </v>
      </c>
      <c r="P92" s="202">
        <f>COUNTIF('様式4'!$AR$4:$AR$303,"3小2005")</f>
        <v>0</v>
      </c>
      <c r="Q92" s="212">
        <f>COUNTIF('様式4'!$AR$4:$AR$303,"3小")-COUNTIF('様式4'!$AO$4:$AO$303,"3小")+'計算シート'!F30</f>
        <v>0</v>
      </c>
      <c r="R92" s="212">
        <f t="shared" si="21"/>
        <v>0</v>
      </c>
      <c r="S92" s="212">
        <f t="shared" si="22"/>
        <v>0</v>
      </c>
      <c r="T92" s="203">
        <f t="shared" si="23"/>
        <v>0</v>
      </c>
    </row>
    <row r="93" spans="1:20" ht="24.75" customHeight="1" hidden="1">
      <c r="A93" s="510"/>
      <c r="B93" s="513"/>
      <c r="C93" s="201" t="s">
        <v>419</v>
      </c>
      <c r="D93" s="202">
        <f>COUNTIF('様式4'!$AI$4:$AI$303,"4小")</f>
        <v>0</v>
      </c>
      <c r="E93" s="202">
        <f>COUNTIF('様式4'!$AO$4:$AO$303,"4小2002")</f>
        <v>0</v>
      </c>
      <c r="F93" s="202" t="str">
        <f>IF(E93&gt;0,ROUND(SUMIF('様式4'!$AO$4:$AO$303,"=4小2002",'様式4'!$AP$4:$AP$303)/E93,0)," ")</f>
        <v> </v>
      </c>
      <c r="G93" s="202">
        <f>COUNTIF('様式4'!$AR$4:$AR$303,"4小2002")</f>
        <v>0</v>
      </c>
      <c r="H93" s="202">
        <f>COUNTIF('様式4'!$AO$4:$AO$303,"4小2003")</f>
        <v>0</v>
      </c>
      <c r="I93" s="202" t="str">
        <f>IF(H93&gt;0,ROUND(SUMIF('様式4'!$AO$4:$AO$303,"=4小2003",'様式4'!$AP$4:$AP$303)/H93,0)," ")</f>
        <v> </v>
      </c>
      <c r="J93" s="202">
        <f>COUNTIF('様式4'!$AR$4:$AR$303,"4小2003")</f>
        <v>0</v>
      </c>
      <c r="K93" s="202">
        <f>COUNTIF('様式4'!$AO$4:$AO$303,"4小2004")</f>
        <v>0</v>
      </c>
      <c r="L93" s="202" t="str">
        <f>IF(K93&gt;0,ROUND(SUMIF('様式4'!$AO$4:$AO$303,"=4小2004",'様式4'!$AP$4:$AP$303)/K93,0)," ")</f>
        <v> </v>
      </c>
      <c r="M93" s="202">
        <f>COUNTIF('様式4'!$AR$4:$AR$303,"4小2004")</f>
        <v>0</v>
      </c>
      <c r="N93" s="202">
        <f>COUNTIF('様式4'!$AO$4:$AO$303,"4小2005")</f>
        <v>0</v>
      </c>
      <c r="O93" s="202" t="str">
        <f>IF(N93&gt;0,ROUND(SUMIF('様式4'!$AO$4:$AO$303,"=4小2005",'様式4'!$AP$4:$AP$303)/N93,0)," ")</f>
        <v> </v>
      </c>
      <c r="P93" s="202">
        <f>COUNTIF('様式4'!$AR$4:$AR$303,"4小2005")</f>
        <v>0</v>
      </c>
      <c r="Q93" s="212">
        <f>COUNTIF('様式4'!$AR$4:$AR$303,"4小")-COUNTIF('様式4'!$AO$4:$AO$303,"4小")+'計算シート'!G30</f>
        <v>0</v>
      </c>
      <c r="R93" s="212">
        <f t="shared" si="21"/>
        <v>0</v>
      </c>
      <c r="S93" s="212">
        <f t="shared" si="22"/>
        <v>0</v>
      </c>
      <c r="T93" s="203">
        <f t="shared" si="23"/>
        <v>0</v>
      </c>
    </row>
    <row r="94" spans="1:20" ht="24.75" customHeight="1" hidden="1">
      <c r="A94" s="510"/>
      <c r="B94" s="514"/>
      <c r="C94" s="201" t="s">
        <v>429</v>
      </c>
      <c r="D94" s="202">
        <f>COUNTIF('様式4'!$AI$4:$AI$303,"5小")</f>
        <v>0</v>
      </c>
      <c r="E94" s="202">
        <f>COUNTIF('様式4'!$AO$4:$AO$303,"5小2002")</f>
        <v>0</v>
      </c>
      <c r="F94" s="202" t="str">
        <f>IF(E94&gt;0,ROUND(SUMIF('様式4'!$AO$4:$AO$303,"=5小2002",'様式4'!$AP$4:$AP$303)/E94,0)," ")</f>
        <v> </v>
      </c>
      <c r="G94" s="202">
        <f>COUNTIF('様式4'!$AR$4:$AR$303,"5小2002")</f>
        <v>0</v>
      </c>
      <c r="H94" s="202">
        <f>COUNTIF('様式4'!$AO$4:$AO$303,"5小2003")</f>
        <v>0</v>
      </c>
      <c r="I94" s="202" t="str">
        <f>IF(H94&gt;0,ROUND(SUMIF('様式4'!$AO$4:$AO$303,"=5小2003",'様式4'!$AP$4:$AP$303)/H94,0)," ")</f>
        <v> </v>
      </c>
      <c r="J94" s="202">
        <f>COUNTIF('様式4'!$AR$4:$AR$303,"5小2003")</f>
        <v>0</v>
      </c>
      <c r="K94" s="202">
        <f>COUNTIF('様式4'!$AO$4:$AO$303,"5小2004")</f>
        <v>0</v>
      </c>
      <c r="L94" s="202" t="str">
        <f>IF(K94&gt;0,ROUND(SUMIF('様式4'!$AO$4:$AO$303,"=5小2004",'様式4'!$AP$4:$AP$303)/K94,0)," ")</f>
        <v> </v>
      </c>
      <c r="M94" s="202">
        <f>COUNTIF('様式4'!$AR$4:$AR$303,"5小2004")</f>
        <v>0</v>
      </c>
      <c r="N94" s="202">
        <f>COUNTIF('様式4'!$AO$4:$AO$303,"5小2005")</f>
        <v>0</v>
      </c>
      <c r="O94" s="202" t="str">
        <f>IF(N94&gt;0,ROUND(SUMIF('様式4'!$AO$4:$AO$303,"=5小2005",'様式4'!$AP$4:$AP$303)/N94,0)," ")</f>
        <v> </v>
      </c>
      <c r="P94" s="202">
        <f>COUNTIF('様式4'!$AR$4:$AR$303,"5小2005")</f>
        <v>0</v>
      </c>
      <c r="Q94" s="212">
        <f>COUNTIF('様式4'!$AR$4:$AR$303,"5小")-COUNTIF('様式4'!$AO$4:$AO$303,"5小")+'計算シート'!H30</f>
        <v>0</v>
      </c>
      <c r="R94" s="212">
        <f t="shared" si="21"/>
        <v>0</v>
      </c>
      <c r="S94" s="212">
        <f t="shared" si="22"/>
        <v>0</v>
      </c>
      <c r="T94" s="203">
        <f t="shared" si="23"/>
        <v>0</v>
      </c>
    </row>
    <row r="95" spans="1:20" ht="24.75" customHeight="1" hidden="1">
      <c r="A95" s="510"/>
      <c r="B95" s="515" t="s">
        <v>47</v>
      </c>
      <c r="C95" s="258" t="s">
        <v>7</v>
      </c>
      <c r="D95" s="202">
        <f>COUNTIF('様式4'!$AI$4:$AI$303,"6小")</f>
        <v>0</v>
      </c>
      <c r="E95" s="202">
        <f>COUNTIF('様式4'!$AO$4:$AO$303,"6小2002")</f>
        <v>0</v>
      </c>
      <c r="F95" s="202" t="str">
        <f>IF(E95&gt;0,ROUND(SUMIF('様式4'!$AO$4:$AO$303,"=6小2002",'様式4'!$AP$4:$AP$303)/E95,0)," ")</f>
        <v> </v>
      </c>
      <c r="G95" s="202">
        <f>COUNTIF('様式4'!$AR$4:$AR$303,"6小2002")</f>
        <v>0</v>
      </c>
      <c r="H95" s="202">
        <f>COUNTIF('様式4'!$AO$4:$AO$303,"6小2003")</f>
        <v>0</v>
      </c>
      <c r="I95" s="202" t="str">
        <f>IF(H95&gt;0,ROUND(SUMIF('様式4'!$AO$4:$AO$303,"=6小2003",'様式4'!$AP$4:$AP$303)/H95,0)," ")</f>
        <v> </v>
      </c>
      <c r="J95" s="202">
        <f>COUNTIF('様式4'!$AR$4:$AR$303,"6小2003")</f>
        <v>0</v>
      </c>
      <c r="K95" s="202">
        <f>COUNTIF('様式4'!$AO$4:$AO$303,"6小2004")</f>
        <v>0</v>
      </c>
      <c r="L95" s="202" t="str">
        <f>IF(K95&gt;0,ROUND(SUMIF('様式4'!$AO$4:$AO$303,"=6小2004",'様式4'!$AP$4:$AP$303)/K95,0)," ")</f>
        <v> </v>
      </c>
      <c r="M95" s="202">
        <f>COUNTIF('様式4'!$AR$4:$AR$303,"6小2004")</f>
        <v>0</v>
      </c>
      <c r="N95" s="202">
        <f>COUNTIF('様式4'!$AO$4:$AO$303,"6小2005")</f>
        <v>0</v>
      </c>
      <c r="O95" s="202" t="str">
        <f>IF(N95&gt;0,ROUND(SUMIF('様式4'!$AO$4:$AO$303,"=6小2005",'様式4'!$AP$4:$AP$303)/N95,0)," ")</f>
        <v> </v>
      </c>
      <c r="P95" s="202">
        <f>COUNTIF('様式4'!$AR$4:$AR$303,"6小2005")</f>
        <v>0</v>
      </c>
      <c r="Q95" s="212">
        <f>COUNTIF('様式4'!$AR$4:$AR$303,"6小")-COUNTIF('様式4'!$AO$4:$AO$303,"6小")+'計算シート'!I30</f>
        <v>0</v>
      </c>
      <c r="R95" s="212">
        <f t="shared" si="21"/>
        <v>0</v>
      </c>
      <c r="S95" s="212">
        <f t="shared" si="22"/>
        <v>0</v>
      </c>
      <c r="T95" s="203">
        <f t="shared" si="23"/>
        <v>0</v>
      </c>
    </row>
    <row r="96" spans="1:20" ht="24.75" customHeight="1" hidden="1">
      <c r="A96" s="510"/>
      <c r="B96" s="513"/>
      <c r="C96" s="258" t="s">
        <v>8</v>
      </c>
      <c r="D96" s="202">
        <f>COUNTIF('様式4'!$AI$4:$AI$303,"7小")</f>
        <v>0</v>
      </c>
      <c r="E96" s="202">
        <f>COUNTIF('様式4'!$AO$4:$AO$303,"7小2002")</f>
        <v>0</v>
      </c>
      <c r="F96" s="202" t="str">
        <f>IF(E96&gt;0,ROUND(SUMIF('様式4'!$AO$4:$AO$303,"=7小2002",'様式4'!$AP$4:$AP$303)/E96,0)," ")</f>
        <v> </v>
      </c>
      <c r="G96" s="202">
        <f>COUNTIF('様式4'!$AR$4:$AR$303,"7小2002")</f>
        <v>0</v>
      </c>
      <c r="H96" s="202">
        <f>COUNTIF('様式4'!$AO$4:$AO$303,"7小2003")</f>
        <v>0</v>
      </c>
      <c r="I96" s="202" t="str">
        <f>IF(H96&gt;0,ROUND(SUMIF('様式4'!$AO$4:$AO$303,"=7小2003",'様式4'!$AP$4:$AP$303)/H96,0)," ")</f>
        <v> </v>
      </c>
      <c r="J96" s="202">
        <f>COUNTIF('様式4'!$AR$4:$AR$303,"7小2003")</f>
        <v>0</v>
      </c>
      <c r="K96" s="202">
        <f>COUNTIF('様式4'!$AO$4:$AO$303,"7小2004")</f>
        <v>0</v>
      </c>
      <c r="L96" s="202" t="str">
        <f>IF(K96&gt;0,ROUND(SUMIF('様式4'!$AO$4:$AO$303,"=7小2004",'様式4'!$AP$4:$AP$303)/K96,0)," ")</f>
        <v> </v>
      </c>
      <c r="M96" s="202">
        <f>COUNTIF('様式4'!$AR$4:$AR$303,"7小2004")</f>
        <v>0</v>
      </c>
      <c r="N96" s="202">
        <f>COUNTIF('様式4'!$AO$4:$AO$303,"7小2005")</f>
        <v>0</v>
      </c>
      <c r="O96" s="202" t="str">
        <f>IF(N96&gt;0,ROUND(SUMIF('様式4'!$AO$4:$AO$303,"=7小2005",'様式4'!$AP$4:$AP$303)/N96,0)," ")</f>
        <v> </v>
      </c>
      <c r="P96" s="202">
        <f>COUNTIF('様式4'!$AR$4:$AR$303,"7小2005")</f>
        <v>0</v>
      </c>
      <c r="Q96" s="212">
        <f>COUNTIF('様式4'!$AR$4:$AR$303,"7小")-COUNTIF('様式4'!$AO$4:$AO$303,"7小")+'計算シート'!J30</f>
        <v>0</v>
      </c>
      <c r="R96" s="212">
        <f t="shared" si="21"/>
        <v>0</v>
      </c>
      <c r="S96" s="212">
        <f t="shared" si="22"/>
        <v>0</v>
      </c>
      <c r="T96" s="203">
        <f t="shared" si="23"/>
        <v>0</v>
      </c>
    </row>
    <row r="97" spans="1:20" ht="24.75" customHeight="1" hidden="1">
      <c r="A97" s="510"/>
      <c r="B97" s="513"/>
      <c r="C97" s="258" t="s">
        <v>9</v>
      </c>
      <c r="D97" s="202">
        <f>COUNTIF('様式4'!$AI$4:$AI$303,"8小")</f>
        <v>0</v>
      </c>
      <c r="E97" s="202">
        <f>COUNTIF('様式4'!$AO$4:$AO$303,"8小2002")</f>
        <v>0</v>
      </c>
      <c r="F97" s="202" t="str">
        <f>IF(E97&gt;0,ROUND(SUMIF('様式4'!$AO$4:$AO$303,"=8小2002",'様式4'!$AP$4:$AP$303)/E97,0)," ")</f>
        <v> </v>
      </c>
      <c r="G97" s="202">
        <f>COUNTIF('様式4'!$AR$4:$AR$303,"8小2002")</f>
        <v>0</v>
      </c>
      <c r="H97" s="202">
        <f>COUNTIF('様式4'!$AO$4:$AO$303,"8小2003")</f>
        <v>0</v>
      </c>
      <c r="I97" s="202" t="str">
        <f>IF(H97&gt;0,ROUND(SUMIF('様式4'!$AO$4:$AO$303,"=8小2003",'様式4'!$AP$4:$AP$303)/H97,0)," ")</f>
        <v> </v>
      </c>
      <c r="J97" s="202">
        <f>COUNTIF('様式4'!$AR$4:$AR$303,"8小2003")</f>
        <v>0</v>
      </c>
      <c r="K97" s="202">
        <f>COUNTIF('様式4'!$AO$4:$AO$303,"8小2004")</f>
        <v>0</v>
      </c>
      <c r="L97" s="202" t="str">
        <f>IF(K97&gt;0,ROUND(SUMIF('様式4'!$AO$4:$AO$303,"=8小2004",'様式4'!$AP$4:$AP$303)/K97,0)," ")</f>
        <v> </v>
      </c>
      <c r="M97" s="202">
        <f>COUNTIF('様式4'!$AR$4:$AR$303,"8小2004")</f>
        <v>0</v>
      </c>
      <c r="N97" s="202">
        <f>COUNTIF('様式4'!$AO$4:$AO$303,"8小2005")</f>
        <v>0</v>
      </c>
      <c r="O97" s="202" t="str">
        <f>IF(N97&gt;0,ROUND(SUMIF('様式4'!$AO$4:$AO$303,"=8小2005",'様式4'!$AP$4:$AP$303)/N97,0)," ")</f>
        <v> </v>
      </c>
      <c r="P97" s="202">
        <f>COUNTIF('様式4'!$AR$4:$AR$303,"8小2005")</f>
        <v>0</v>
      </c>
      <c r="Q97" s="212">
        <f>COUNTIF('様式4'!$AR$4:$AR$303,"8小")-COUNTIF('様式4'!$AO$4:$AO$303,"8小")+'計算シート'!K30</f>
        <v>0</v>
      </c>
      <c r="R97" s="212">
        <f t="shared" si="21"/>
        <v>0</v>
      </c>
      <c r="S97" s="212">
        <f t="shared" si="22"/>
        <v>0</v>
      </c>
      <c r="T97" s="203">
        <f t="shared" si="23"/>
        <v>0</v>
      </c>
    </row>
    <row r="98" spans="1:20" ht="24.75" customHeight="1" hidden="1">
      <c r="A98" s="510"/>
      <c r="B98" s="513"/>
      <c r="C98" s="258" t="s">
        <v>10</v>
      </c>
      <c r="D98" s="202">
        <f>COUNTIF('様式4'!$AI$4:$AI$303,"9小")</f>
        <v>0</v>
      </c>
      <c r="E98" s="202">
        <f>COUNTIF('様式4'!$AO$4:$AO$303,"9小2002")</f>
        <v>0</v>
      </c>
      <c r="F98" s="202" t="str">
        <f>IF(E98&gt;0,ROUND(SUMIF('様式4'!$AO$4:$AO$303,"=9小2002",'様式4'!$AP$4:$AP$303)/E98,0)," ")</f>
        <v> </v>
      </c>
      <c r="G98" s="202">
        <f>COUNTIF('様式4'!$AR$4:$AR$303,"9小2002")</f>
        <v>0</v>
      </c>
      <c r="H98" s="202">
        <f>COUNTIF('様式4'!$AO$4:$AO$303,"9小2003")</f>
        <v>0</v>
      </c>
      <c r="I98" s="202" t="str">
        <f>IF(H98&gt;0,ROUND(SUMIF('様式4'!$AO$4:$AO$303,"=9小2003",'様式4'!$AP$4:$AP$303)/H98,0)," ")</f>
        <v> </v>
      </c>
      <c r="J98" s="202">
        <f>COUNTIF('様式4'!$AR$4:$AR$303,"9小2003")</f>
        <v>0</v>
      </c>
      <c r="K98" s="202">
        <f>COUNTIF('様式4'!$AO$4:$AO$303,"9小2004")</f>
        <v>0</v>
      </c>
      <c r="L98" s="202" t="str">
        <f>IF(K98&gt;0,ROUND(SUMIF('様式4'!$AO$4:$AO$303,"=9小2004",'様式4'!$AP$4:$AP$303)/K98,0)," ")</f>
        <v> </v>
      </c>
      <c r="M98" s="202">
        <f>COUNTIF('様式4'!$AR$4:$AR$303,"9小2004")</f>
        <v>0</v>
      </c>
      <c r="N98" s="202">
        <f>COUNTIF('様式4'!$AO$4:$AO$303,"9小2005")</f>
        <v>0</v>
      </c>
      <c r="O98" s="202" t="str">
        <f>IF(N98&gt;0,ROUND(SUMIF('様式4'!$AO$4:$AO$303,"=9小2005",'様式4'!$AP$4:$AP$303)/N98,0)," ")</f>
        <v> </v>
      </c>
      <c r="P98" s="202">
        <f>COUNTIF('様式4'!$AR$4:$AR$303,"9小2005")</f>
        <v>0</v>
      </c>
      <c r="Q98" s="212">
        <f>COUNTIF('様式4'!$AR$4:$AR$303,"9小")-COUNTIF('様式4'!$AO$4:$AO$303,"9小")+'計算シート'!L30</f>
        <v>0</v>
      </c>
      <c r="R98" s="212">
        <f t="shared" si="21"/>
        <v>0</v>
      </c>
      <c r="S98" s="212">
        <f t="shared" si="22"/>
        <v>0</v>
      </c>
      <c r="T98" s="203">
        <f t="shared" si="23"/>
        <v>0</v>
      </c>
    </row>
    <row r="99" spans="1:20" ht="24.75" customHeight="1" hidden="1">
      <c r="A99" s="510"/>
      <c r="B99" s="513"/>
      <c r="C99" s="258" t="s">
        <v>416</v>
      </c>
      <c r="D99" s="202">
        <f>COUNTIF('様式4'!$AI$4:$AI$303,"10小")</f>
        <v>0</v>
      </c>
      <c r="E99" s="202">
        <f>COUNTIF('様式4'!$AO$4:$AO$303,"10小2002")</f>
        <v>0</v>
      </c>
      <c r="F99" s="202" t="str">
        <f>IF(E99&gt;0,ROUND(SUMIF('様式4'!$AO$4:$AO$303,"=10小2002",'様式4'!$AP$4:$AP$303)/E99,0)," ")</f>
        <v> </v>
      </c>
      <c r="G99" s="202">
        <f>COUNTIF('様式4'!$AR$4:$AR$303,"10小2002")</f>
        <v>0</v>
      </c>
      <c r="H99" s="202">
        <f>COUNTIF('様式4'!$AO$4:$AO$303,"10小2003")</f>
        <v>0</v>
      </c>
      <c r="I99" s="202" t="str">
        <f>IF(H99&gt;0,ROUND(SUMIF('様式4'!$AO$4:$AO$303,"=10小2003",'様式4'!$AP$4:$AP$303)/H99,0)," ")</f>
        <v> </v>
      </c>
      <c r="J99" s="202">
        <f>COUNTIF('様式4'!$AR$4:$AR$303,"10小2003")</f>
        <v>0</v>
      </c>
      <c r="K99" s="202">
        <f>COUNTIF('様式4'!$AO$4:$AO$303,"10小2004")</f>
        <v>0</v>
      </c>
      <c r="L99" s="202" t="str">
        <f>IF(K99&gt;0,ROUND(SUMIF('様式4'!$AO$4:$AO$303,"=10小2004",'様式4'!$AP$4:$AP$303)/K99,0)," ")</f>
        <v> </v>
      </c>
      <c r="M99" s="202">
        <f>COUNTIF('様式4'!$AR$4:$AR$303,"10小2004")</f>
        <v>0</v>
      </c>
      <c r="N99" s="202">
        <f>COUNTIF('様式4'!$AO$4:$AO$303,"10小2005")</f>
        <v>0</v>
      </c>
      <c r="O99" s="202" t="str">
        <f>IF(N99&gt;0,ROUND(SUMIF('様式4'!$AO$4:$AO$303,"=10小2005",'様式4'!$AP$4:$AP$303)/N99,0)," ")</f>
        <v> </v>
      </c>
      <c r="P99" s="202">
        <f>COUNTIF('様式4'!$AR$4:$AR$303,"10小2005")</f>
        <v>0</v>
      </c>
      <c r="Q99" s="212">
        <f>COUNTIF('様式4'!$AR$4:$AR$303,"10小")-COUNTIF('様式4'!$AO$4:$AO$303,"10小")+'計算シート'!M30</f>
        <v>0</v>
      </c>
      <c r="R99" s="212">
        <f t="shared" si="21"/>
        <v>0</v>
      </c>
      <c r="S99" s="212">
        <f t="shared" si="22"/>
        <v>0</v>
      </c>
      <c r="T99" s="203">
        <f t="shared" si="23"/>
        <v>0</v>
      </c>
    </row>
    <row r="100" spans="1:20" ht="24.75" customHeight="1" hidden="1">
      <c r="A100" s="510"/>
      <c r="B100" s="514"/>
      <c r="C100" s="258" t="s">
        <v>11</v>
      </c>
      <c r="D100" s="202">
        <f>COUNTIF('様式4'!$AI$4:$AI$303,"11小")</f>
        <v>0</v>
      </c>
      <c r="E100" s="202">
        <f>COUNTIF('様式4'!$AO$4:$AO$303,"11小2002")</f>
        <v>0</v>
      </c>
      <c r="F100" s="202" t="str">
        <f>IF(E100&gt;0,ROUND(SUMIF('様式4'!$AO$4:$AO$303,"=11小2002",'様式4'!$AP$4:$AP$303)/E100,0)," ")</f>
        <v> </v>
      </c>
      <c r="G100" s="202">
        <f>COUNTIF('様式4'!$AR$4:$AR$303,"11小2002")</f>
        <v>0</v>
      </c>
      <c r="H100" s="202">
        <f>COUNTIF('様式4'!$AO$4:$AO$303,"11小2003")</f>
        <v>0</v>
      </c>
      <c r="I100" s="202" t="str">
        <f>IF(H100&gt;0,ROUND(SUMIF('様式4'!$AO$4:$AO$303,"=11小2003",'様式4'!$AP$4:$AP$303)/H100,0)," ")</f>
        <v> </v>
      </c>
      <c r="J100" s="202">
        <f>COUNTIF('様式4'!$AR$4:$AR$303,"11小2003")</f>
        <v>0</v>
      </c>
      <c r="K100" s="202">
        <f>COUNTIF('様式4'!$AO$4:$AO$303,"11小2004")</f>
        <v>0</v>
      </c>
      <c r="L100" s="202" t="str">
        <f>IF(K100&gt;0,ROUND(SUMIF('様式4'!$AO$4:$AO$303,"=11小2004",'様式4'!$AP$4:$AP$303)/K100,0)," ")</f>
        <v> </v>
      </c>
      <c r="M100" s="202">
        <f>COUNTIF('様式4'!$AR$4:$AR$303,"11小2004")</f>
        <v>0</v>
      </c>
      <c r="N100" s="202">
        <f>COUNTIF('様式4'!$AO$4:$AO$303,"11小2005")</f>
        <v>0</v>
      </c>
      <c r="O100" s="202" t="str">
        <f>IF(N100&gt;0,ROUND(SUMIF('様式4'!$AO$4:$AO$303,"=11小2005",'様式4'!$AP$4:$AP$303)/N100,0)," ")</f>
        <v> </v>
      </c>
      <c r="P100" s="202">
        <f>COUNTIF('様式4'!$AR$4:$AR$303,"11小2005")</f>
        <v>0</v>
      </c>
      <c r="Q100" s="212">
        <f>COUNTIF('様式4'!$AR$4:$AR$303,"11小")-COUNTIF('様式4'!$AO$4:$AO$303,"11小")+'計算シート'!N30</f>
        <v>0</v>
      </c>
      <c r="R100" s="212">
        <f t="shared" si="21"/>
        <v>0</v>
      </c>
      <c r="S100" s="212">
        <f t="shared" si="22"/>
        <v>0</v>
      </c>
      <c r="T100" s="203">
        <f t="shared" si="23"/>
        <v>0</v>
      </c>
    </row>
    <row r="101" spans="1:20" ht="24.75" customHeight="1" hidden="1">
      <c r="A101" s="510"/>
      <c r="B101" s="515" t="s">
        <v>334</v>
      </c>
      <c r="C101" s="201" t="s">
        <v>323</v>
      </c>
      <c r="D101" s="202">
        <f>COUNTIF('様式4'!$AI$4:$AI$303,"12小")</f>
        <v>0</v>
      </c>
      <c r="E101" s="202">
        <f>COUNTIF('様式4'!$AO$4:$AO$303,"12小2002")</f>
        <v>0</v>
      </c>
      <c r="F101" s="202" t="str">
        <f>IF(E101&gt;0,ROUND(SUMIF('様式4'!$AO$4:$AO$303,"=12小2002",'様式4'!$AP$4:$AP$303)/E101,0)," ")</f>
        <v> </v>
      </c>
      <c r="G101" s="202">
        <f>COUNTIF('様式4'!$AR$4:$AR$303,"12小2002")</f>
        <v>0</v>
      </c>
      <c r="H101" s="202">
        <f>COUNTIF('様式4'!$AO$4:$AO$303,"12小2003")</f>
        <v>0</v>
      </c>
      <c r="I101" s="202" t="str">
        <f>IF(H101&gt;0,ROUND(SUMIF('様式4'!$AO$4:$AO$303,"=12小2003",'様式4'!$AP$4:$AP$303)/H101,0)," ")</f>
        <v> </v>
      </c>
      <c r="J101" s="202">
        <f>COUNTIF('様式4'!$AR$4:$AR$303,"12小2003")</f>
        <v>0</v>
      </c>
      <c r="K101" s="202">
        <f>COUNTIF('様式4'!$AO$4:$AO$303,"12小2004")</f>
        <v>0</v>
      </c>
      <c r="L101" s="202" t="str">
        <f>IF(K101&gt;0,ROUND(SUMIF('様式4'!$AO$4:$AO$303,"=12小2004",'様式4'!$AP$4:$AP$303)/K101,0)," ")</f>
        <v> </v>
      </c>
      <c r="M101" s="202">
        <f>COUNTIF('様式4'!$AR$4:$AR$303,"12小2004")</f>
        <v>0</v>
      </c>
      <c r="N101" s="202">
        <f>COUNTIF('様式4'!$AO$4:$AO$303,"12小2005")</f>
        <v>0</v>
      </c>
      <c r="O101" s="202" t="str">
        <f>IF(N101&gt;0,ROUND(SUMIF('様式4'!$AO$4:$AO$303,"=12小2005",'様式4'!$AP$4:$AP$303)/N101,0)," ")</f>
        <v> </v>
      </c>
      <c r="P101" s="202">
        <f>COUNTIF('様式4'!$AR$4:$AR$303,"12小2005")</f>
        <v>0</v>
      </c>
      <c r="Q101" s="212">
        <f>COUNTIF('様式4'!$AR$4:$AR$303,"12小")-COUNTIF('様式4'!$AO$4:$AO$303,"12小")+'計算シート'!O30</f>
        <v>0</v>
      </c>
      <c r="R101" s="212">
        <f t="shared" si="21"/>
        <v>0</v>
      </c>
      <c r="S101" s="212">
        <f t="shared" si="22"/>
        <v>0</v>
      </c>
      <c r="T101" s="203">
        <f t="shared" si="23"/>
        <v>0</v>
      </c>
    </row>
    <row r="102" spans="1:20" ht="24.75" customHeight="1" hidden="1">
      <c r="A102" s="510"/>
      <c r="B102" s="514"/>
      <c r="C102" s="201" t="s">
        <v>408</v>
      </c>
      <c r="D102" s="202">
        <f>COUNTIF('様式4'!$AI$4:$AI$303,"13小")</f>
        <v>0</v>
      </c>
      <c r="E102" s="202">
        <f>COUNTIF('様式4'!$AO$4:$AO$303,"13小2002")</f>
        <v>0</v>
      </c>
      <c r="F102" s="202" t="str">
        <f>IF(E102&gt;0,ROUND(SUMIF('様式4'!$AO$4:$AO$303,"=13小2002",'様式4'!$AP$4:$AP$303)/E102,0)," ")</f>
        <v> </v>
      </c>
      <c r="G102" s="202">
        <f>COUNTIF('様式4'!$AR$4:$AR$303,"13小2002")</f>
        <v>0</v>
      </c>
      <c r="H102" s="202">
        <f>COUNTIF('様式4'!$AO$4:$AO$303,"13小2003")</f>
        <v>0</v>
      </c>
      <c r="I102" s="202" t="str">
        <f>IF(H102&gt;0,ROUND(SUMIF('様式4'!$AO$4:$AO$303,"=13小2003",'様式4'!$AP$4:$AP$303)/H102,0)," ")</f>
        <v> </v>
      </c>
      <c r="J102" s="202">
        <f>COUNTIF('様式4'!$AR$4:$AR$303,"13小2003")</f>
        <v>0</v>
      </c>
      <c r="K102" s="202">
        <f>COUNTIF('様式4'!$AO$4:$AO$303,"13小2004")</f>
        <v>0</v>
      </c>
      <c r="L102" s="202" t="str">
        <f>IF(K102&gt;0,ROUND(SUMIF('様式4'!$AO$4:$AO$303,"=13小2004",'様式4'!$AP$4:$AP$303)/K102,0)," ")</f>
        <v> </v>
      </c>
      <c r="M102" s="202">
        <f>COUNTIF('様式4'!$AR$4:$AR$303,"13小2004")</f>
        <v>0</v>
      </c>
      <c r="N102" s="202">
        <f>COUNTIF('様式4'!$AO$4:$AO$303,"13小2005")</f>
        <v>0</v>
      </c>
      <c r="O102" s="202" t="str">
        <f>IF(N102&gt;0,ROUND(SUMIF('様式4'!$AO$4:$AO$303,"=13小2005",'様式4'!$AP$4:$AP$303)/N102,0)," ")</f>
        <v> </v>
      </c>
      <c r="P102" s="202">
        <f>COUNTIF('様式4'!$AR$4:$AR$303,"13小2005")</f>
        <v>0</v>
      </c>
      <c r="Q102" s="212">
        <f>COUNTIF('様式4'!$AR$4:$AR$303,"13小")-COUNTIF('様式4'!$AO$4:$AO$303,"13小")+'計算シート'!P30</f>
        <v>0</v>
      </c>
      <c r="R102" s="212">
        <f t="shared" si="21"/>
        <v>0</v>
      </c>
      <c r="S102" s="212">
        <f t="shared" si="22"/>
        <v>0</v>
      </c>
      <c r="T102" s="203">
        <f t="shared" si="23"/>
        <v>0</v>
      </c>
    </row>
    <row r="103" spans="1:20" ht="24.75" customHeight="1" hidden="1">
      <c r="A103" s="510"/>
      <c r="B103" s="51"/>
      <c r="C103" s="68" t="s">
        <v>432</v>
      </c>
      <c r="D103" s="214"/>
      <c r="E103" s="214"/>
      <c r="F103" s="214"/>
      <c r="G103" s="202">
        <f>COUNTIF('様式4'!$AR$4:$AR$303,"小2002")</f>
        <v>0</v>
      </c>
      <c r="H103" s="214"/>
      <c r="I103" s="214"/>
      <c r="J103" s="202">
        <f>COUNTIF('様式4'!$AR$4:$AR$303,"小2003")</f>
        <v>0</v>
      </c>
      <c r="K103" s="214"/>
      <c r="L103" s="214"/>
      <c r="M103" s="202">
        <f>COUNTIF('様式4'!$AR$4:$AR$303,"小2004")</f>
        <v>0</v>
      </c>
      <c r="N103" s="214"/>
      <c r="O103" s="214"/>
      <c r="P103" s="202">
        <f>COUNTIF('様式4'!$AR$4:$AR$303,"小2005")</f>
        <v>0</v>
      </c>
      <c r="Q103" s="212">
        <f>'計算シート'!S30</f>
        <v>0</v>
      </c>
      <c r="R103" s="215"/>
      <c r="S103" s="212"/>
      <c r="T103" s="203">
        <f>Q103</f>
        <v>0</v>
      </c>
    </row>
    <row r="104" spans="1:20" ht="24.75" customHeight="1" hidden="1" thickBot="1">
      <c r="A104" s="511"/>
      <c r="B104" s="60"/>
      <c r="C104" s="69" t="s">
        <v>594</v>
      </c>
      <c r="D104" s="217">
        <f aca="true" t="shared" si="24" ref="D104:T104">SUM(D90:D103)</f>
        <v>0</v>
      </c>
      <c r="E104" s="217">
        <f t="shared" si="24"/>
        <v>0</v>
      </c>
      <c r="F104" s="217"/>
      <c r="G104" s="217">
        <f t="shared" si="24"/>
        <v>0</v>
      </c>
      <c r="H104" s="217">
        <f t="shared" si="24"/>
        <v>0</v>
      </c>
      <c r="I104" s="217"/>
      <c r="J104" s="217">
        <f t="shared" si="24"/>
        <v>0</v>
      </c>
      <c r="K104" s="217">
        <f t="shared" si="24"/>
        <v>0</v>
      </c>
      <c r="L104" s="217"/>
      <c r="M104" s="217">
        <f t="shared" si="24"/>
        <v>0</v>
      </c>
      <c r="N104" s="217">
        <f t="shared" si="24"/>
        <v>0</v>
      </c>
      <c r="O104" s="217"/>
      <c r="P104" s="217">
        <f t="shared" si="24"/>
        <v>0</v>
      </c>
      <c r="Q104" s="217">
        <f t="shared" si="24"/>
        <v>0</v>
      </c>
      <c r="R104" s="217">
        <f t="shared" si="24"/>
        <v>0</v>
      </c>
      <c r="S104" s="217">
        <f t="shared" si="24"/>
        <v>0</v>
      </c>
      <c r="T104" s="218">
        <f t="shared" si="24"/>
        <v>0</v>
      </c>
    </row>
    <row r="105" spans="1:20" ht="24.75" customHeight="1" hidden="1">
      <c r="A105" s="506" t="s">
        <v>29</v>
      </c>
      <c r="B105" s="512" t="s">
        <v>435</v>
      </c>
      <c r="C105" s="207" t="s">
        <v>420</v>
      </c>
      <c r="D105" s="208">
        <f>COUNTIF('様式4'!$AI$4:$AI$303,"1バ")</f>
        <v>0</v>
      </c>
      <c r="E105" s="208">
        <f>COUNTIF('様式4'!$AO$4:$AO$303,"1バ2002")</f>
        <v>0</v>
      </c>
      <c r="F105" s="208" t="str">
        <f>IF(E105&gt;0,ROUND(SUMIF('様式4'!$AO$4:$AO$303,"=1バ2002",'様式4'!$AP$4:$AP$303)/E105,0)," ")</f>
        <v> </v>
      </c>
      <c r="G105" s="208">
        <f>COUNTIF('様式4'!$AR$4:$AR$303,"1バ2002")</f>
        <v>0</v>
      </c>
      <c r="H105" s="208">
        <f>COUNTIF('様式4'!$AO$4:$AO$303,"1バ2003")</f>
        <v>0</v>
      </c>
      <c r="I105" s="208" t="str">
        <f>IF(H105&gt;0,ROUND(SUMIF('様式4'!$AO$4:$AO$303,"=1バ2003",'様式4'!$AP$4:$AP$303)/H105,0)," ")</f>
        <v> </v>
      </c>
      <c r="J105" s="208">
        <f>COUNTIF('様式4'!$AR$4:$AR$303,"1バ2003")</f>
        <v>0</v>
      </c>
      <c r="K105" s="208">
        <f>COUNTIF('様式4'!$AO$4:$AO$303,"1バ2004")</f>
        <v>0</v>
      </c>
      <c r="L105" s="208" t="str">
        <f>IF(K105&gt;0,ROUND(SUMIF('様式4'!$AO$4:$AO$303,"=1バ2004",'様式4'!$AP$4:$AP$303)/K105,0)," ")</f>
        <v> </v>
      </c>
      <c r="M105" s="208">
        <f>COUNTIF('様式4'!$AR$4:$AR$303,"1バ2004")</f>
        <v>0</v>
      </c>
      <c r="N105" s="208">
        <f>COUNTIF('様式4'!$AO$4:$AO$303,"1バ2005")</f>
        <v>0</v>
      </c>
      <c r="O105" s="208" t="str">
        <f>IF(N105&gt;0,ROUND(SUMIF('様式4'!$AO$4:$AO$303,"=1バ2005",'様式4'!$AP$4:$AP$303)/N105,0)," ")</f>
        <v> </v>
      </c>
      <c r="P105" s="208">
        <f>COUNTIF('様式4'!$AR$4:$AR$303,"1バ2005")</f>
        <v>0</v>
      </c>
      <c r="Q105" s="209">
        <f>COUNTIF('様式4'!$AR$4:$AR$303,"1バ")-COUNTIF('様式4'!$AO$4:$AO$303,"1バ")+'計算シート'!D33</f>
        <v>0</v>
      </c>
      <c r="R105" s="209">
        <f>E105+H105+K105+N105</f>
        <v>0</v>
      </c>
      <c r="S105" s="209">
        <f>G105+J105+M105+P105</f>
        <v>0</v>
      </c>
      <c r="T105" s="210">
        <f>D105+Q105-R105+S105</f>
        <v>0</v>
      </c>
    </row>
    <row r="106" spans="1:20" ht="24.75" customHeight="1" hidden="1">
      <c r="A106" s="510"/>
      <c r="B106" s="513"/>
      <c r="C106" s="201" t="s">
        <v>320</v>
      </c>
      <c r="D106" s="202">
        <f>COUNTIF('様式4'!$AI$4:$AI$303,"2バ")</f>
        <v>0</v>
      </c>
      <c r="E106" s="202">
        <f>COUNTIF('様式4'!$AO$4:$AO$303,"2バ2002")</f>
        <v>0</v>
      </c>
      <c r="F106" s="202" t="str">
        <f>IF(E106&gt;0,ROUND(SUMIF('様式4'!$AO$4:$AO$303,"=2バ2002",'様式4'!$AP$4:$AP$303)/E106,0)," ")</f>
        <v> </v>
      </c>
      <c r="G106" s="202">
        <f>COUNTIF('様式4'!$AR$4:$AR$303,"2バ2002")</f>
        <v>0</v>
      </c>
      <c r="H106" s="202">
        <f>COUNTIF('様式4'!$AO$4:$AO$303,"2バ2003")</f>
        <v>0</v>
      </c>
      <c r="I106" s="202" t="str">
        <f>IF(H106&gt;0,ROUND(SUMIF('様式4'!$AO$4:$AO$303,"=2バ2003",'様式4'!$AP$4:$AP$303)/H106,0)," ")</f>
        <v> </v>
      </c>
      <c r="J106" s="202">
        <f>COUNTIF('様式4'!$AR$4:$AR$303,"2バ2003")</f>
        <v>0</v>
      </c>
      <c r="K106" s="202">
        <f>COUNTIF('様式4'!$AO$4:$AO$303,"2バ2004")</f>
        <v>0</v>
      </c>
      <c r="L106" s="202" t="str">
        <f>IF(K106&gt;0,ROUND(SUMIF('様式4'!$AO$4:$AO$303,"=2バ2004",'様式4'!$AP$4:$AP$303)/K106,0)," ")</f>
        <v> </v>
      </c>
      <c r="M106" s="202">
        <f>COUNTIF('様式4'!$AR$4:$AR$303,"2バ2004")</f>
        <v>0</v>
      </c>
      <c r="N106" s="202">
        <f>COUNTIF('様式4'!$AO$4:$AO$303,"2バ2005")</f>
        <v>0</v>
      </c>
      <c r="O106" s="202" t="str">
        <f>IF(N106&gt;0,ROUND(SUMIF('様式4'!$AO$4:$AO$303,"=2バ2005",'様式4'!$AP$4:$AP$303)/N106,0)," ")</f>
        <v> </v>
      </c>
      <c r="P106" s="202">
        <f>COUNTIF('様式4'!$AR$4:$AR$303,"2バ2005")</f>
        <v>0</v>
      </c>
      <c r="Q106" s="212">
        <f>COUNTIF('様式4'!$AR$4:$AR$303,"2バ")-COUNTIF('様式4'!$AO$4:$AO$303,"2バ")+'計算シート'!E33</f>
        <v>0</v>
      </c>
      <c r="R106" s="212">
        <f aca="true" t="shared" si="25" ref="R106:R117">E106+H106+K106+N106</f>
        <v>0</v>
      </c>
      <c r="S106" s="212">
        <f aca="true" t="shared" si="26" ref="S106:S117">G106+J106+M106+P106</f>
        <v>0</v>
      </c>
      <c r="T106" s="203">
        <f aca="true" t="shared" si="27" ref="T106:T117">D106+Q106-R106+S106</f>
        <v>0</v>
      </c>
    </row>
    <row r="107" spans="1:20" ht="24.75" customHeight="1" hidden="1">
      <c r="A107" s="510"/>
      <c r="B107" s="513"/>
      <c r="C107" s="201" t="s">
        <v>27</v>
      </c>
      <c r="D107" s="202">
        <f>COUNTIF('様式4'!$AI$4:$AI$303,"3バ")</f>
        <v>0</v>
      </c>
      <c r="E107" s="202">
        <f>COUNTIF('様式4'!$AO$4:$AO$303,"3バ2002")</f>
        <v>0</v>
      </c>
      <c r="F107" s="202" t="str">
        <f>IF(E107&gt;0,ROUND(SUMIF('様式4'!$AO$4:$AO$303,"=3バ2002",'様式4'!$AP$4:$AP$303)/E107,0)," ")</f>
        <v> </v>
      </c>
      <c r="G107" s="202">
        <f>COUNTIF('様式4'!$AR$4:$AR$303,"3バ2002")</f>
        <v>0</v>
      </c>
      <c r="H107" s="202">
        <f>COUNTIF('様式4'!$AO$4:$AO$303,"3バ2003")</f>
        <v>0</v>
      </c>
      <c r="I107" s="202" t="str">
        <f>IF(H107&gt;0,ROUND(SUMIF('様式4'!$AO$4:$AO$303,"=3バ2003",'様式4'!$AP$4:$AP$303)/H107,0)," ")</f>
        <v> </v>
      </c>
      <c r="J107" s="202">
        <f>COUNTIF('様式4'!$AR$4:$AR$303,"3バ2003")</f>
        <v>0</v>
      </c>
      <c r="K107" s="202">
        <f>COUNTIF('様式4'!$AO$4:$AO$303,"3バ2004")</f>
        <v>0</v>
      </c>
      <c r="L107" s="202" t="str">
        <f>IF(K107&gt;0,ROUND(SUMIF('様式4'!$AO$4:$AO$303,"=3バ2004",'様式4'!$AP$4:$AP$303)/K107,0)," ")</f>
        <v> </v>
      </c>
      <c r="M107" s="202">
        <f>COUNTIF('様式4'!$AR$4:$AR$303,"3バ2004")</f>
        <v>0</v>
      </c>
      <c r="N107" s="202">
        <f>COUNTIF('様式4'!$AO$4:$AO$303,"3バ2005")</f>
        <v>0</v>
      </c>
      <c r="O107" s="202" t="str">
        <f>IF(N107&gt;0,ROUND(SUMIF('様式4'!$AO$4:$AO$303,"=3バ2005",'様式4'!$AP$4:$AP$303)/N107,0)," ")</f>
        <v> </v>
      </c>
      <c r="P107" s="202">
        <f>COUNTIF('様式4'!$AR$4:$AR$303,"3バ2005")</f>
        <v>0</v>
      </c>
      <c r="Q107" s="212">
        <f>COUNTIF('様式4'!$AR$4:$AR$303,"3バ")-COUNTIF('様式4'!$AO$4:$AO$303,"3バ")+'計算シート'!F33</f>
        <v>0</v>
      </c>
      <c r="R107" s="212">
        <f t="shared" si="25"/>
        <v>0</v>
      </c>
      <c r="S107" s="212">
        <f t="shared" si="26"/>
        <v>0</v>
      </c>
      <c r="T107" s="203">
        <f t="shared" si="27"/>
        <v>0</v>
      </c>
    </row>
    <row r="108" spans="1:20" ht="24.75" customHeight="1" hidden="1">
      <c r="A108" s="510"/>
      <c r="B108" s="513"/>
      <c r="C108" s="201" t="s">
        <v>419</v>
      </c>
      <c r="D108" s="202">
        <f>COUNTIF('様式4'!$AI$4:$AI$303,"4バ")</f>
        <v>0</v>
      </c>
      <c r="E108" s="202">
        <f>COUNTIF('様式4'!$AO$4:$AO$303,"4バ2002")</f>
        <v>0</v>
      </c>
      <c r="F108" s="202" t="str">
        <f>IF(E108&gt;0,ROUND(SUMIF('様式4'!$AO$4:$AO$303,"=4バ2002",'様式4'!$AP$4:$AP$303)/E108,0)," ")</f>
        <v> </v>
      </c>
      <c r="G108" s="202">
        <f>COUNTIF('様式4'!$AR$4:$AR$303,"4バ2002")</f>
        <v>0</v>
      </c>
      <c r="H108" s="202">
        <f>COUNTIF('様式4'!$AO$4:$AO$303,"4バ2003")</f>
        <v>0</v>
      </c>
      <c r="I108" s="202" t="str">
        <f>IF(H108&gt;0,ROUND(SUMIF('様式4'!$AO$4:$AO$303,"=4バ2003",'様式4'!$AP$4:$AP$303)/H108,0)," ")</f>
        <v> </v>
      </c>
      <c r="J108" s="202">
        <f>COUNTIF('様式4'!$AR$4:$AR$303,"4バ2003")</f>
        <v>0</v>
      </c>
      <c r="K108" s="202">
        <f>COUNTIF('様式4'!$AO$4:$AO$303,"4バ2004")</f>
        <v>0</v>
      </c>
      <c r="L108" s="202" t="str">
        <f>IF(K108&gt;0,ROUND(SUMIF('様式4'!$AO$4:$AO$303,"=4バ2004",'様式4'!$AP$4:$AP$303)/K108,0)," ")</f>
        <v> </v>
      </c>
      <c r="M108" s="202">
        <f>COUNTIF('様式4'!$AR$4:$AR$303,"4バ2004")</f>
        <v>0</v>
      </c>
      <c r="N108" s="202">
        <f>COUNTIF('様式4'!$AO$4:$AO$303,"4バ2005")</f>
        <v>0</v>
      </c>
      <c r="O108" s="202" t="str">
        <f>IF(N108&gt;0,ROUND(SUMIF('様式4'!$AO$4:$AO$303,"=4バ2005",'様式4'!$AP$4:$AP$303)/N108,0)," ")</f>
        <v> </v>
      </c>
      <c r="P108" s="202">
        <f>COUNTIF('様式4'!$AR$4:$AR$303,"4バ2005")</f>
        <v>0</v>
      </c>
      <c r="Q108" s="212">
        <f>COUNTIF('様式4'!$AR$4:$AR$303,"4バ")-COUNTIF('様式4'!$AO$4:$AO$303,"4バ")+'計算シート'!G33</f>
        <v>0</v>
      </c>
      <c r="R108" s="212">
        <f t="shared" si="25"/>
        <v>0</v>
      </c>
      <c r="S108" s="212">
        <f t="shared" si="26"/>
        <v>0</v>
      </c>
      <c r="T108" s="203">
        <f t="shared" si="27"/>
        <v>0</v>
      </c>
    </row>
    <row r="109" spans="1:20" ht="24.75" customHeight="1" hidden="1">
      <c r="A109" s="510"/>
      <c r="B109" s="514"/>
      <c r="C109" s="201" t="s">
        <v>429</v>
      </c>
      <c r="D109" s="202">
        <f>COUNTIF('様式4'!$AI$4:$AI$303,"5バ")</f>
        <v>0</v>
      </c>
      <c r="E109" s="202">
        <f>COUNTIF('様式4'!$AO$4:$AO$303,"5バ2002")</f>
        <v>0</v>
      </c>
      <c r="F109" s="202" t="str">
        <f>IF(E109&gt;0,ROUND(SUMIF('様式4'!$AO$4:$AO$303,"=5バ2002",'様式4'!$AP$4:$AP$303)/E109,0)," ")</f>
        <v> </v>
      </c>
      <c r="G109" s="202">
        <f>COUNTIF('様式4'!$AR$4:$AR$303,"5バ2002")</f>
        <v>0</v>
      </c>
      <c r="H109" s="202">
        <f>COUNTIF('様式4'!$AO$4:$AO$303,"5バ2003")</f>
        <v>0</v>
      </c>
      <c r="I109" s="202" t="str">
        <f>IF(H109&gt;0,ROUND(SUMIF('様式4'!$AO$4:$AO$303,"=5バ2003",'様式4'!$AP$4:$AP$303)/H109,0)," ")</f>
        <v> </v>
      </c>
      <c r="J109" s="202">
        <f>COUNTIF('様式4'!$AR$4:$AR$303,"5バ2003")</f>
        <v>0</v>
      </c>
      <c r="K109" s="202">
        <f>COUNTIF('様式4'!$AO$4:$AO$303,"5バ2004")</f>
        <v>0</v>
      </c>
      <c r="L109" s="202" t="str">
        <f>IF(K109&gt;0,ROUND(SUMIF('様式4'!$AO$4:$AO$303,"=5バ2004",'様式4'!$AP$4:$AP$303)/K109,0)," ")</f>
        <v> </v>
      </c>
      <c r="M109" s="202">
        <f>COUNTIF('様式4'!$AR$4:$AR$303,"5バ2004")</f>
        <v>0</v>
      </c>
      <c r="N109" s="202">
        <f>COUNTIF('様式4'!$AO$4:$AO$303,"5バ2005")</f>
        <v>0</v>
      </c>
      <c r="O109" s="202" t="str">
        <f>IF(N109&gt;0,ROUND(SUMIF('様式4'!$AO$4:$AO$303,"=5バ2005",'様式4'!$AP$4:$AP$303)/N109,0)," ")</f>
        <v> </v>
      </c>
      <c r="P109" s="202">
        <f>COUNTIF('様式4'!$AR$4:$AR$303,"5バ2005")</f>
        <v>0</v>
      </c>
      <c r="Q109" s="212">
        <f>COUNTIF('様式4'!$AR$4:$AR$303,"5バ")-COUNTIF('様式4'!$AO$4:$AO$303,"5バ")+'計算シート'!H33</f>
        <v>0</v>
      </c>
      <c r="R109" s="212">
        <f t="shared" si="25"/>
        <v>0</v>
      </c>
      <c r="S109" s="212">
        <f t="shared" si="26"/>
        <v>0</v>
      </c>
      <c r="T109" s="203">
        <f t="shared" si="27"/>
        <v>0</v>
      </c>
    </row>
    <row r="110" spans="1:20" ht="24.75" customHeight="1" hidden="1">
      <c r="A110" s="510"/>
      <c r="B110" s="515" t="s">
        <v>47</v>
      </c>
      <c r="C110" s="258" t="s">
        <v>7</v>
      </c>
      <c r="D110" s="202">
        <f>COUNTIF('様式4'!$AI$4:$AI$303,"6バ")</f>
        <v>0</v>
      </c>
      <c r="E110" s="202">
        <f>COUNTIF('様式4'!$AO$4:$AO$303,"6バ2002")</f>
        <v>0</v>
      </c>
      <c r="F110" s="202" t="str">
        <f>IF(E110&gt;0,ROUND(SUMIF('様式4'!$AO$4:$AO$303,"=6バ2002",'様式4'!$AP$4:$AP$303)/E110,0)," ")</f>
        <v> </v>
      </c>
      <c r="G110" s="202">
        <f>COUNTIF('様式4'!$AR$4:$AR$303,"6バ2002")</f>
        <v>0</v>
      </c>
      <c r="H110" s="202">
        <f>COUNTIF('様式4'!$AO$4:$AO$303,"6バ2003")</f>
        <v>0</v>
      </c>
      <c r="I110" s="202" t="str">
        <f>IF(H110&gt;0,ROUND(SUMIF('様式4'!$AO$4:$AO$303,"=6バ2003",'様式4'!$AP$4:$AP$303)/H110,0)," ")</f>
        <v> </v>
      </c>
      <c r="J110" s="202">
        <f>COUNTIF('様式4'!$AR$4:$AR$303,"6バ2003")</f>
        <v>0</v>
      </c>
      <c r="K110" s="202">
        <f>COUNTIF('様式4'!$AO$4:$AO$303,"6バ2004")</f>
        <v>0</v>
      </c>
      <c r="L110" s="202" t="str">
        <f>IF(K110&gt;0,ROUND(SUMIF('様式4'!$AO$4:$AO$303,"=6バ2004",'様式4'!$AP$4:$AP$303)/K110,0)," ")</f>
        <v> </v>
      </c>
      <c r="M110" s="202">
        <f>COUNTIF('様式4'!$AR$4:$AR$303,"6バ2004")</f>
        <v>0</v>
      </c>
      <c r="N110" s="202">
        <f>COUNTIF('様式4'!$AO$4:$AO$303,"6バ2005")</f>
        <v>0</v>
      </c>
      <c r="O110" s="202" t="str">
        <f>IF(N110&gt;0,ROUND(SUMIF('様式4'!$AO$4:$AO$303,"=6バ2005",'様式4'!$AP$4:$AP$303)/N110,0)," ")</f>
        <v> </v>
      </c>
      <c r="P110" s="202">
        <f>COUNTIF('様式4'!$AR$4:$AR$303,"6バ2005")</f>
        <v>0</v>
      </c>
      <c r="Q110" s="212">
        <f>COUNTIF('様式4'!$AR$4:$AR$303,"6バ")-COUNTIF('様式4'!$AO$4:$AO$303,"6バ")+'計算シート'!I33</f>
        <v>0</v>
      </c>
      <c r="R110" s="212">
        <f t="shared" si="25"/>
        <v>0</v>
      </c>
      <c r="S110" s="212">
        <f t="shared" si="26"/>
        <v>0</v>
      </c>
      <c r="T110" s="203">
        <f t="shared" si="27"/>
        <v>0</v>
      </c>
    </row>
    <row r="111" spans="1:20" ht="24.75" customHeight="1" hidden="1">
      <c r="A111" s="510"/>
      <c r="B111" s="513"/>
      <c r="C111" s="258" t="s">
        <v>8</v>
      </c>
      <c r="D111" s="202">
        <f>COUNTIF('様式4'!$AI$4:$AI$303,"7バ")</f>
        <v>0</v>
      </c>
      <c r="E111" s="202">
        <f>COUNTIF('様式4'!$AO$4:$AO$303,"7バ2002")</f>
        <v>0</v>
      </c>
      <c r="F111" s="202" t="str">
        <f>IF(E111&gt;0,ROUND(SUMIF('様式4'!$AO$4:$AO$303,"=7バ2002",'様式4'!$AP$4:$AP$303)/E111,0)," ")</f>
        <v> </v>
      </c>
      <c r="G111" s="202">
        <f>COUNTIF('様式4'!$AR$4:$AR$303,"7バ2002")</f>
        <v>0</v>
      </c>
      <c r="H111" s="202">
        <f>COUNTIF('様式4'!$AO$4:$AO$303,"7バ2003")</f>
        <v>0</v>
      </c>
      <c r="I111" s="202" t="str">
        <f>IF(H111&gt;0,ROUND(SUMIF('様式4'!$AO$4:$AO$303,"=7バ2003",'様式4'!$AP$4:$AP$303)/H111,0)," ")</f>
        <v> </v>
      </c>
      <c r="J111" s="202">
        <f>COUNTIF('様式4'!$AR$4:$AR$303,"7バ2003")</f>
        <v>0</v>
      </c>
      <c r="K111" s="202">
        <f>COUNTIF('様式4'!$AO$4:$AO$303,"7バ2004")</f>
        <v>0</v>
      </c>
      <c r="L111" s="202" t="str">
        <f>IF(K111&gt;0,ROUND(SUMIF('様式4'!$AO$4:$AO$303,"=7バ2004",'様式4'!$AP$4:$AP$303)/K111,0)," ")</f>
        <v> </v>
      </c>
      <c r="M111" s="202">
        <f>COUNTIF('様式4'!$AR$4:$AR$303,"7バ2004")</f>
        <v>0</v>
      </c>
      <c r="N111" s="202">
        <f>COUNTIF('様式4'!$AO$4:$AO$303,"7バ2005")</f>
        <v>0</v>
      </c>
      <c r="O111" s="202" t="str">
        <f>IF(N111&gt;0,ROUND(SUMIF('様式4'!$AO$4:$AO$303,"=7バ2005",'様式4'!$AP$4:$AP$303)/N111,0)," ")</f>
        <v> </v>
      </c>
      <c r="P111" s="202">
        <f>COUNTIF('様式4'!$AR$4:$AR$303,"7バ2005")</f>
        <v>0</v>
      </c>
      <c r="Q111" s="212">
        <f>COUNTIF('様式4'!$AR$4:$AR$303,"7バ")-COUNTIF('様式4'!$AO$4:$AO$303,"7バ")+'計算シート'!J33</f>
        <v>0</v>
      </c>
      <c r="R111" s="212">
        <f t="shared" si="25"/>
        <v>0</v>
      </c>
      <c r="S111" s="212">
        <f t="shared" si="26"/>
        <v>0</v>
      </c>
      <c r="T111" s="203">
        <f t="shared" si="27"/>
        <v>0</v>
      </c>
    </row>
    <row r="112" spans="1:20" ht="24.75" customHeight="1" hidden="1">
      <c r="A112" s="510"/>
      <c r="B112" s="513"/>
      <c r="C112" s="258" t="s">
        <v>9</v>
      </c>
      <c r="D112" s="202">
        <f>COUNTIF('様式4'!$AI$4:$AI$303,"8バ")</f>
        <v>0</v>
      </c>
      <c r="E112" s="202">
        <f>COUNTIF('様式4'!$AO$4:$AO$303,"8バ2002")</f>
        <v>0</v>
      </c>
      <c r="F112" s="202" t="str">
        <f>IF(E112&gt;0,ROUND(SUMIF('様式4'!$AO$4:$AO$303,"=8バ2002",'様式4'!$AP$4:$AP$303)/E112,0)," ")</f>
        <v> </v>
      </c>
      <c r="G112" s="202">
        <f>COUNTIF('様式4'!$AR$4:$AR$303,"8バ2002")</f>
        <v>0</v>
      </c>
      <c r="H112" s="202">
        <f>COUNTIF('様式4'!$AO$4:$AO$303,"8バ2003")</f>
        <v>0</v>
      </c>
      <c r="I112" s="202" t="str">
        <f>IF(H112&gt;0,ROUND(SUMIF('様式4'!$AO$4:$AO$303,"=8バ2003",'様式4'!$AP$4:$AP$303)/H112,0)," ")</f>
        <v> </v>
      </c>
      <c r="J112" s="202">
        <f>COUNTIF('様式4'!$AR$4:$AR$303,"8バ2003")</f>
        <v>0</v>
      </c>
      <c r="K112" s="202">
        <f>COUNTIF('様式4'!$AO$4:$AO$303,"8バ2004")</f>
        <v>0</v>
      </c>
      <c r="L112" s="202" t="str">
        <f>IF(K112&gt;0,ROUND(SUMIF('様式4'!$AO$4:$AO$303,"=8バ2004",'様式4'!$AP$4:$AP$303)/K112,0)," ")</f>
        <v> </v>
      </c>
      <c r="M112" s="202">
        <f>COUNTIF('様式4'!$AR$4:$AR$303,"8バ2004")</f>
        <v>0</v>
      </c>
      <c r="N112" s="202">
        <f>COUNTIF('様式4'!$AO$4:$AO$303,"8バ2005")</f>
        <v>0</v>
      </c>
      <c r="O112" s="202" t="str">
        <f>IF(N112&gt;0,ROUND(SUMIF('様式4'!$AO$4:$AO$303,"=8バ2005",'様式4'!$AP$4:$AP$303)/N112,0)," ")</f>
        <v> </v>
      </c>
      <c r="P112" s="202">
        <f>COUNTIF('様式4'!$AR$4:$AR$303,"8バ2005")</f>
        <v>0</v>
      </c>
      <c r="Q112" s="212">
        <f>COUNTIF('様式4'!$AR$4:$AR$303,"8バ")-COUNTIF('様式4'!$AO$4:$AO$303,"8バ")+'計算シート'!K33</f>
        <v>0</v>
      </c>
      <c r="R112" s="212">
        <f t="shared" si="25"/>
        <v>0</v>
      </c>
      <c r="S112" s="212">
        <f t="shared" si="26"/>
        <v>0</v>
      </c>
      <c r="T112" s="203">
        <f t="shared" si="27"/>
        <v>0</v>
      </c>
    </row>
    <row r="113" spans="1:20" ht="24.75" customHeight="1" hidden="1">
      <c r="A113" s="510"/>
      <c r="B113" s="513"/>
      <c r="C113" s="258" t="s">
        <v>10</v>
      </c>
      <c r="D113" s="202">
        <f>COUNTIF('様式4'!$AI$4:$AI$303,"9バ")</f>
        <v>0</v>
      </c>
      <c r="E113" s="202">
        <f>COUNTIF('様式4'!$AO$4:$AO$303,"9バ2002")</f>
        <v>0</v>
      </c>
      <c r="F113" s="202" t="str">
        <f>IF(E113&gt;0,ROUND(SUMIF('様式4'!$AO$4:$AO$303,"=9バ2002",'様式4'!$AP$4:$AP$303)/E113,0)," ")</f>
        <v> </v>
      </c>
      <c r="G113" s="202">
        <f>COUNTIF('様式4'!$AR$4:$AR$303,"9バ2002")</f>
        <v>0</v>
      </c>
      <c r="H113" s="202">
        <f>COUNTIF('様式4'!$AO$4:$AO$303,"9バ2003")</f>
        <v>0</v>
      </c>
      <c r="I113" s="202" t="str">
        <f>IF(H113&gt;0,ROUND(SUMIF('様式4'!$AO$4:$AO$303,"=9バ2003",'様式4'!$AP$4:$AP$303)/H113,0)," ")</f>
        <v> </v>
      </c>
      <c r="J113" s="202">
        <f>COUNTIF('様式4'!$AR$4:$AR$303,"9バ2003")</f>
        <v>0</v>
      </c>
      <c r="K113" s="202">
        <f>COUNTIF('様式4'!$AO$4:$AO$303,"9バ2004")</f>
        <v>0</v>
      </c>
      <c r="L113" s="202" t="str">
        <f>IF(K113&gt;0,ROUND(SUMIF('様式4'!$AO$4:$AO$303,"=9バ2004",'様式4'!$AP$4:$AP$303)/K113,0)," ")</f>
        <v> </v>
      </c>
      <c r="M113" s="202">
        <f>COUNTIF('様式4'!$AR$4:$AR$303,"9バ2004")</f>
        <v>0</v>
      </c>
      <c r="N113" s="202">
        <f>COUNTIF('様式4'!$AO$4:$AO$303,"9バ2005")</f>
        <v>0</v>
      </c>
      <c r="O113" s="202" t="str">
        <f>IF(N113&gt;0,ROUND(SUMIF('様式4'!$AO$4:$AO$303,"=9バ2005",'様式4'!$AP$4:$AP$303)/N113,0)," ")</f>
        <v> </v>
      </c>
      <c r="P113" s="202">
        <f>COUNTIF('様式4'!$AR$4:$AR$303,"9バ2005")</f>
        <v>0</v>
      </c>
      <c r="Q113" s="212">
        <f>COUNTIF('様式4'!$AR$4:$AR$303,"9バ")-COUNTIF('様式4'!$AO$4:$AO$303,"9バ")+'計算シート'!L33</f>
        <v>0</v>
      </c>
      <c r="R113" s="212">
        <f t="shared" si="25"/>
        <v>0</v>
      </c>
      <c r="S113" s="212">
        <f t="shared" si="26"/>
        <v>0</v>
      </c>
      <c r="T113" s="203">
        <f t="shared" si="27"/>
        <v>0</v>
      </c>
    </row>
    <row r="114" spans="1:20" ht="24.75" customHeight="1" hidden="1">
      <c r="A114" s="510"/>
      <c r="B114" s="513"/>
      <c r="C114" s="258" t="s">
        <v>416</v>
      </c>
      <c r="D114" s="202">
        <f>COUNTIF('様式4'!$AI$4:$AI$303,"10バ")</f>
        <v>0</v>
      </c>
      <c r="E114" s="202">
        <f>COUNTIF('様式4'!$AO$4:$AO$303,"10バ2002")</f>
        <v>0</v>
      </c>
      <c r="F114" s="202" t="str">
        <f>IF(E114&gt;0,ROUND(SUMIF('様式4'!$AO$4:$AO$303,"=10バ2002",'様式4'!$AP$4:$AP$303)/E114,0)," ")</f>
        <v> </v>
      </c>
      <c r="G114" s="202">
        <f>COUNTIF('様式4'!$AR$4:$AR$303,"10バ2002")</f>
        <v>0</v>
      </c>
      <c r="H114" s="202">
        <f>COUNTIF('様式4'!$AO$4:$AO$303,"10バ2003")</f>
        <v>0</v>
      </c>
      <c r="I114" s="202" t="str">
        <f>IF(H114&gt;0,ROUND(SUMIF('様式4'!$AO$4:$AO$303,"=10バ2003",'様式4'!$AP$4:$AP$303)/H114,0)," ")</f>
        <v> </v>
      </c>
      <c r="J114" s="202">
        <f>COUNTIF('様式4'!$AR$4:$AR$303,"10バ2003")</f>
        <v>0</v>
      </c>
      <c r="K114" s="202">
        <f>COUNTIF('様式4'!$AO$4:$AO$303,"10バ2004")</f>
        <v>0</v>
      </c>
      <c r="L114" s="202" t="str">
        <f>IF(K114&gt;0,ROUND(SUMIF('様式4'!$AO$4:$AO$303,"=10バ2004",'様式4'!$AP$4:$AP$303)/K114,0)," ")</f>
        <v> </v>
      </c>
      <c r="M114" s="202">
        <f>COUNTIF('様式4'!$AR$4:$AR$303,"10バ2004")</f>
        <v>0</v>
      </c>
      <c r="N114" s="202">
        <f>COUNTIF('様式4'!$AO$4:$AO$303,"10バ2005")</f>
        <v>0</v>
      </c>
      <c r="O114" s="202" t="str">
        <f>IF(N114&gt;0,ROUND(SUMIF('様式4'!$AO$4:$AO$303,"=10バ2005",'様式4'!$AP$4:$AP$303)/N114,0)," ")</f>
        <v> </v>
      </c>
      <c r="P114" s="202">
        <f>COUNTIF('様式4'!$AR$4:$AR$303,"10バ2005")</f>
        <v>0</v>
      </c>
      <c r="Q114" s="212">
        <f>COUNTIF('様式4'!$AR$4:$AR$303,"10バ")-COUNTIF('様式4'!$AO$4:$AO$303,"10バ")+'計算シート'!M33</f>
        <v>0</v>
      </c>
      <c r="R114" s="212">
        <f t="shared" si="25"/>
        <v>0</v>
      </c>
      <c r="S114" s="212">
        <f t="shared" si="26"/>
        <v>0</v>
      </c>
      <c r="T114" s="203">
        <f t="shared" si="27"/>
        <v>0</v>
      </c>
    </row>
    <row r="115" spans="1:20" ht="24.75" customHeight="1" hidden="1">
      <c r="A115" s="510"/>
      <c r="B115" s="514"/>
      <c r="C115" s="258" t="s">
        <v>11</v>
      </c>
      <c r="D115" s="202">
        <f>COUNTIF('様式4'!$AI$4:$AI$303,"11バ")</f>
        <v>0</v>
      </c>
      <c r="E115" s="202">
        <f>COUNTIF('様式4'!$AO$4:$AO$303,"11バ2002")</f>
        <v>0</v>
      </c>
      <c r="F115" s="202" t="str">
        <f>IF(E115&gt;0,ROUND(SUMIF('様式4'!$AO$4:$AO$303,"=11バ2002",'様式4'!$AP$4:$AP$303)/E115,0)," ")</f>
        <v> </v>
      </c>
      <c r="G115" s="202">
        <f>COUNTIF('様式4'!$AR$4:$AR$303,"11バ2002")</f>
        <v>0</v>
      </c>
      <c r="H115" s="202">
        <f>COUNTIF('様式4'!$AO$4:$AO$303,"11バ2003")</f>
        <v>0</v>
      </c>
      <c r="I115" s="202" t="str">
        <f>IF(H115&gt;0,ROUND(SUMIF('様式4'!$AO$4:$AO$303,"=11バ2003",'様式4'!$AP$4:$AP$303)/H115,0)," ")</f>
        <v> </v>
      </c>
      <c r="J115" s="202">
        <f>COUNTIF('様式4'!$AR$4:$AR$303,"11バ2003")</f>
        <v>0</v>
      </c>
      <c r="K115" s="202">
        <f>COUNTIF('様式4'!$AO$4:$AO$303,"11バ2004")</f>
        <v>0</v>
      </c>
      <c r="L115" s="202" t="str">
        <f>IF(K115&gt;0,ROUND(SUMIF('様式4'!$AO$4:$AO$303,"=11バ2004",'様式4'!$AP$4:$AP$303)/K115,0)," ")</f>
        <v> </v>
      </c>
      <c r="M115" s="202">
        <f>COUNTIF('様式4'!$AR$4:$AR$303,"11バ2004")</f>
        <v>0</v>
      </c>
      <c r="N115" s="202">
        <f>COUNTIF('様式4'!$AO$4:$AO$303,"11バ2005")</f>
        <v>0</v>
      </c>
      <c r="O115" s="202" t="str">
        <f>IF(N115&gt;0,ROUND(SUMIF('様式4'!$AO$4:$AO$303,"=11バ2005",'様式4'!$AP$4:$AP$303)/N115,0)," ")</f>
        <v> </v>
      </c>
      <c r="P115" s="202">
        <f>COUNTIF('様式4'!$AR$4:$AR$303,"11バ2005")</f>
        <v>0</v>
      </c>
      <c r="Q115" s="212">
        <f>COUNTIF('様式4'!$AR$4:$AR$303,"11バ")-COUNTIF('様式4'!$AO$4:$AO$303,"11バ")+'計算シート'!N33</f>
        <v>0</v>
      </c>
      <c r="R115" s="212">
        <f t="shared" si="25"/>
        <v>0</v>
      </c>
      <c r="S115" s="212">
        <f t="shared" si="26"/>
        <v>0</v>
      </c>
      <c r="T115" s="203">
        <f t="shared" si="27"/>
        <v>0</v>
      </c>
    </row>
    <row r="116" spans="1:20" ht="24.75" customHeight="1" hidden="1">
      <c r="A116" s="510"/>
      <c r="B116" s="515" t="s">
        <v>334</v>
      </c>
      <c r="C116" s="201" t="s">
        <v>323</v>
      </c>
      <c r="D116" s="202">
        <f>COUNTIF('様式4'!$AI$4:$AI$303,"12バ")</f>
        <v>0</v>
      </c>
      <c r="E116" s="202">
        <f>COUNTIF('様式4'!$AO$4:$AO$303,"12バ2002")</f>
        <v>0</v>
      </c>
      <c r="F116" s="202" t="str">
        <f>IF(E116&gt;0,ROUND(SUMIF('様式4'!$AO$4:$AO$303,"=12バ2002",'様式4'!$AP$4:$AP$303)/E116,0)," ")</f>
        <v> </v>
      </c>
      <c r="G116" s="202">
        <f>COUNTIF('様式4'!$AR$4:$AR$303,"12バ2002")</f>
        <v>0</v>
      </c>
      <c r="H116" s="202">
        <f>COUNTIF('様式4'!$AO$4:$AO$303,"12バ2003")</f>
        <v>0</v>
      </c>
      <c r="I116" s="202" t="str">
        <f>IF(H116&gt;0,ROUND(SUMIF('様式4'!$AO$4:$AO$303,"=12バ2003",'様式4'!$AP$4:$AP$303)/H116,0)," ")</f>
        <v> </v>
      </c>
      <c r="J116" s="202">
        <f>COUNTIF('様式4'!$AR$4:$AR$303,"12バ2003")</f>
        <v>0</v>
      </c>
      <c r="K116" s="202">
        <f>COUNTIF('様式4'!$AO$4:$AO$303,"12バ2004")</f>
        <v>0</v>
      </c>
      <c r="L116" s="202" t="str">
        <f>IF(K116&gt;0,ROUND(SUMIF('様式4'!$AO$4:$AO$303,"=12バ2004",'様式4'!$AP$4:$AP$303)/K116,0)," ")</f>
        <v> </v>
      </c>
      <c r="M116" s="202">
        <f>COUNTIF('様式4'!$AR$4:$AR$303,"12バ2004")</f>
        <v>0</v>
      </c>
      <c r="N116" s="202">
        <f>COUNTIF('様式4'!$AO$4:$AO$303,"12バ2005")</f>
        <v>0</v>
      </c>
      <c r="O116" s="202" t="str">
        <f>IF(N116&gt;0,ROUND(SUMIF('様式4'!$AO$4:$AO$303,"=12バ2005",'様式4'!$AP$4:$AP$303)/N116,0)," ")</f>
        <v> </v>
      </c>
      <c r="P116" s="202">
        <f>COUNTIF('様式4'!$AR$4:$AR$303,"12バ2005")</f>
        <v>0</v>
      </c>
      <c r="Q116" s="212">
        <f>COUNTIF('様式4'!$AR$4:$AR$303,"12バ")-COUNTIF('様式4'!$AO$4:$AO$303,"12バ")+'計算シート'!O33</f>
        <v>0</v>
      </c>
      <c r="R116" s="212">
        <f t="shared" si="25"/>
        <v>0</v>
      </c>
      <c r="S116" s="212">
        <f t="shared" si="26"/>
        <v>0</v>
      </c>
      <c r="T116" s="203">
        <f t="shared" si="27"/>
        <v>0</v>
      </c>
    </row>
    <row r="117" spans="1:20" ht="24.75" customHeight="1" hidden="1">
      <c r="A117" s="510"/>
      <c r="B117" s="514"/>
      <c r="C117" s="201" t="s">
        <v>408</v>
      </c>
      <c r="D117" s="202">
        <f>COUNTIF('様式4'!$AI$4:$AI$303,"13バ")</f>
        <v>0</v>
      </c>
      <c r="E117" s="202">
        <f>COUNTIF('様式4'!$AO$4:$AO$303,"13バ2002")</f>
        <v>0</v>
      </c>
      <c r="F117" s="202" t="str">
        <f>IF(E117&gt;0,ROUND(SUMIF('様式4'!$AO$4:$AO$303,"=13バ2002",'様式4'!$AP$4:$AP$303)/E117,0)," ")</f>
        <v> </v>
      </c>
      <c r="G117" s="202">
        <f>COUNTIF('様式4'!$AR$4:$AR$303,"13バ2002")</f>
        <v>0</v>
      </c>
      <c r="H117" s="202">
        <f>COUNTIF('様式4'!$AO$4:$AO$303,"13バ2003")</f>
        <v>0</v>
      </c>
      <c r="I117" s="202" t="str">
        <f>IF(H117&gt;0,ROUND(SUMIF('様式4'!$AO$4:$AO$303,"=13バ2003",'様式4'!$AP$4:$AP$303)/H117,0)," ")</f>
        <v> </v>
      </c>
      <c r="J117" s="202">
        <f>COUNTIF('様式4'!$AR$4:$AR$303,"13バ2003")</f>
        <v>0</v>
      </c>
      <c r="K117" s="202">
        <f>COUNTIF('様式4'!$AO$4:$AO$303,"13バ2004")</f>
        <v>0</v>
      </c>
      <c r="L117" s="202" t="str">
        <f>IF(K117&gt;0,ROUND(SUMIF('様式4'!$AO$4:$AO$303,"=13バ2004",'様式4'!$AP$4:$AP$303)/K117,0)," ")</f>
        <v> </v>
      </c>
      <c r="M117" s="202">
        <f>COUNTIF('様式4'!$AR$4:$AR$303,"13バ2004")</f>
        <v>0</v>
      </c>
      <c r="N117" s="202">
        <f>COUNTIF('様式4'!$AO$4:$AO$303,"13バ2005")</f>
        <v>0</v>
      </c>
      <c r="O117" s="202" t="str">
        <f>IF(N117&gt;0,ROUND(SUMIF('様式4'!$AO$4:$AO$303,"=13バ2005",'様式4'!$AP$4:$AP$303)/N117,0)," ")</f>
        <v> </v>
      </c>
      <c r="P117" s="202">
        <f>COUNTIF('様式4'!$AR$4:$AR$303,"13バ2005")</f>
        <v>0</v>
      </c>
      <c r="Q117" s="212">
        <f>COUNTIF('様式4'!$AR$4:$AR$303,"13バ")-COUNTIF('様式4'!$AO$4:$AO$303,"13バ")+'計算シート'!P33</f>
        <v>0</v>
      </c>
      <c r="R117" s="212">
        <f t="shared" si="25"/>
        <v>0</v>
      </c>
      <c r="S117" s="212">
        <f t="shared" si="26"/>
        <v>0</v>
      </c>
      <c r="T117" s="203">
        <f t="shared" si="27"/>
        <v>0</v>
      </c>
    </row>
    <row r="118" spans="1:20" ht="24.75" customHeight="1" hidden="1">
      <c r="A118" s="510"/>
      <c r="B118" s="51"/>
      <c r="C118" s="68" t="s">
        <v>432</v>
      </c>
      <c r="D118" s="214"/>
      <c r="E118" s="214"/>
      <c r="F118" s="214"/>
      <c r="G118" s="202">
        <f>COUNTIF('様式4'!$AR$4:$AR$303,"バ2002")</f>
        <v>0</v>
      </c>
      <c r="H118" s="214"/>
      <c r="I118" s="214"/>
      <c r="J118" s="202">
        <f>COUNTIF('様式4'!$AR$4:$AR$303,"バ2003")</f>
        <v>0</v>
      </c>
      <c r="K118" s="214"/>
      <c r="L118" s="214"/>
      <c r="M118" s="202">
        <f>COUNTIF('様式4'!$AR$4:$AR$303,"バ2004")</f>
        <v>0</v>
      </c>
      <c r="N118" s="214"/>
      <c r="O118" s="214"/>
      <c r="P118" s="202">
        <f>COUNTIF('様式4'!$AR$4:$AR$303,"バ2005")</f>
        <v>0</v>
      </c>
      <c r="Q118" s="212">
        <f>'計算シート'!S33</f>
        <v>0</v>
      </c>
      <c r="R118" s="215"/>
      <c r="S118" s="212"/>
      <c r="T118" s="203">
        <f>Q118</f>
        <v>0</v>
      </c>
    </row>
    <row r="119" spans="1:20" ht="24.75" customHeight="1" hidden="1" thickBot="1">
      <c r="A119" s="510"/>
      <c r="B119" s="105"/>
      <c r="C119" s="106" t="s">
        <v>594</v>
      </c>
      <c r="D119" s="219">
        <f aca="true" t="shared" si="28" ref="D119:T119">SUM(D105:D118)</f>
        <v>0</v>
      </c>
      <c r="E119" s="219">
        <f t="shared" si="28"/>
        <v>0</v>
      </c>
      <c r="F119" s="219"/>
      <c r="G119" s="219">
        <f t="shared" si="28"/>
        <v>0</v>
      </c>
      <c r="H119" s="219">
        <f t="shared" si="28"/>
        <v>0</v>
      </c>
      <c r="I119" s="219"/>
      <c r="J119" s="219">
        <f t="shared" si="28"/>
        <v>0</v>
      </c>
      <c r="K119" s="219">
        <f t="shared" si="28"/>
        <v>0</v>
      </c>
      <c r="L119" s="219"/>
      <c r="M119" s="219">
        <f t="shared" si="28"/>
        <v>0</v>
      </c>
      <c r="N119" s="219">
        <f t="shared" si="28"/>
        <v>0</v>
      </c>
      <c r="O119" s="219"/>
      <c r="P119" s="219">
        <f t="shared" si="28"/>
        <v>0</v>
      </c>
      <c r="Q119" s="219">
        <f t="shared" si="28"/>
        <v>0</v>
      </c>
      <c r="R119" s="219">
        <f t="shared" si="28"/>
        <v>0</v>
      </c>
      <c r="S119" s="219">
        <f t="shared" si="28"/>
        <v>0</v>
      </c>
      <c r="T119" s="220">
        <f t="shared" si="28"/>
        <v>0</v>
      </c>
    </row>
    <row r="120" spans="1:20" ht="15" customHeight="1" hidden="1">
      <c r="A120" s="107"/>
      <c r="B120" s="107"/>
      <c r="C120" s="108"/>
      <c r="D120" s="221"/>
      <c r="E120" s="221"/>
      <c r="F120" s="221"/>
      <c r="G120" s="221"/>
      <c r="H120" s="221"/>
      <c r="I120" s="221"/>
      <c r="J120" s="221"/>
      <c r="K120" s="221"/>
      <c r="L120" s="221"/>
      <c r="M120" s="221"/>
      <c r="N120" s="221"/>
      <c r="O120" s="221"/>
      <c r="P120" s="221"/>
      <c r="Q120" s="221"/>
      <c r="R120" s="221"/>
      <c r="S120" s="221"/>
      <c r="T120" s="221"/>
    </row>
    <row r="121" spans="1:20" ht="15" customHeight="1">
      <c r="A121" s="2"/>
      <c r="B121" s="2"/>
      <c r="C121" s="2"/>
      <c r="D121" s="2"/>
      <c r="E121" s="2"/>
      <c r="F121" s="2"/>
      <c r="G121" s="2"/>
      <c r="H121" s="2"/>
      <c r="I121" s="2"/>
      <c r="J121" s="2"/>
      <c r="K121" s="2"/>
      <c r="L121" s="2"/>
      <c r="M121" s="2"/>
      <c r="N121" s="2"/>
      <c r="O121" s="2"/>
      <c r="P121" s="2"/>
      <c r="Q121" s="2"/>
      <c r="R121" s="2"/>
      <c r="S121" s="2"/>
      <c r="T121" s="2"/>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sheetData>
  <sheetProtection sheet="1" objects="1" scenarios="1"/>
  <mergeCells count="66">
    <mergeCell ref="R5:R6"/>
    <mergeCell ref="S5:S6"/>
    <mergeCell ref="A7:A21"/>
    <mergeCell ref="B7:B11"/>
    <mergeCell ref="B12:B17"/>
    <mergeCell ref="B18:B19"/>
    <mergeCell ref="D3:D6"/>
    <mergeCell ref="E3:G4"/>
    <mergeCell ref="H3:J4"/>
    <mergeCell ref="K3:M4"/>
    <mergeCell ref="R3:S4"/>
    <mergeCell ref="T3:T6"/>
    <mergeCell ref="E5:F5"/>
    <mergeCell ref="G5:G6"/>
    <mergeCell ref="H5:I5"/>
    <mergeCell ref="J5:J6"/>
    <mergeCell ref="K5:L5"/>
    <mergeCell ref="M5:M6"/>
    <mergeCell ref="N5:O5"/>
    <mergeCell ref="P5:P6"/>
    <mergeCell ref="N3:P4"/>
    <mergeCell ref="Q3:Q6"/>
    <mergeCell ref="B110:B115"/>
    <mergeCell ref="B116:B117"/>
    <mergeCell ref="A3:C6"/>
    <mergeCell ref="B71:B72"/>
    <mergeCell ref="B75:B79"/>
    <mergeCell ref="B80:B85"/>
    <mergeCell ref="B86:B87"/>
    <mergeCell ref="A90:A104"/>
    <mergeCell ref="A105:A119"/>
    <mergeCell ref="B90:B94"/>
    <mergeCell ref="B95:B100"/>
    <mergeCell ref="B101:B102"/>
    <mergeCell ref="B105:B109"/>
    <mergeCell ref="B50:B55"/>
    <mergeCell ref="B56:B57"/>
    <mergeCell ref="B60:B64"/>
    <mergeCell ref="B65:B70"/>
    <mergeCell ref="B30:B34"/>
    <mergeCell ref="B35:B40"/>
    <mergeCell ref="B41:B42"/>
    <mergeCell ref="B45:B49"/>
    <mergeCell ref="A30:A44"/>
    <mergeCell ref="A45:A59"/>
    <mergeCell ref="A60:A74"/>
    <mergeCell ref="A75:A89"/>
    <mergeCell ref="N26:P27"/>
    <mergeCell ref="R26:S27"/>
    <mergeCell ref="S28:S29"/>
    <mergeCell ref="A26:C29"/>
    <mergeCell ref="D26:D29"/>
    <mergeCell ref="E26:G27"/>
    <mergeCell ref="H26:J27"/>
    <mergeCell ref="K26:M27"/>
    <mergeCell ref="Q26:Q29"/>
    <mergeCell ref="T26:T29"/>
    <mergeCell ref="E28:F28"/>
    <mergeCell ref="G28:G29"/>
    <mergeCell ref="H28:I28"/>
    <mergeCell ref="J28:J29"/>
    <mergeCell ref="K28:L28"/>
    <mergeCell ref="M28:M29"/>
    <mergeCell ref="N28:O28"/>
    <mergeCell ref="P28:P29"/>
    <mergeCell ref="R28:R29"/>
  </mergeCells>
  <printOptions/>
  <pageMargins left="0.7874015748031497" right="0.7874015748031497" top="0.7874015748031497" bottom="0.7874015748031497" header="0.5118110236220472" footer="0.5118110236220472"/>
  <pageSetup horizontalDpi="300" verticalDpi="300" orientation="portrait" pageOrder="overThenDown" paperSize="9" scale="80" r:id="rId1"/>
  <rowBreaks count="1" manualBreakCount="1">
    <brk id="24" max="255" man="1"/>
  </rowBreaks>
</worksheet>
</file>

<file path=xl/worksheets/sheet8.xml><?xml version="1.0" encoding="utf-8"?>
<worksheet xmlns="http://schemas.openxmlformats.org/spreadsheetml/2006/main" xmlns:r="http://schemas.openxmlformats.org/officeDocument/2006/relationships">
  <dimension ref="A1:W36"/>
  <sheetViews>
    <sheetView workbookViewId="0" topLeftCell="A12">
      <selection activeCell="A27" sqref="A27:C27"/>
    </sheetView>
  </sheetViews>
  <sheetFormatPr defaultColWidth="9.00390625" defaultRowHeight="13.5" customHeight="1"/>
  <cols>
    <col min="1" max="1" width="6.625" style="92" customWidth="1"/>
    <col min="2" max="2" width="8.50390625" style="92" customWidth="1"/>
    <col min="3" max="3" width="4.75390625" style="92" customWidth="1"/>
    <col min="4" max="11" width="8.375" style="92" customWidth="1"/>
    <col min="12" max="13" width="7.25390625" style="92" customWidth="1"/>
    <col min="14" max="14" width="7.50390625" style="92" customWidth="1"/>
    <col min="15" max="15" width="8.75390625" style="92" customWidth="1"/>
    <col min="16" max="16384" width="6.25390625" style="92" customWidth="1"/>
  </cols>
  <sheetData>
    <row r="1" ht="13.5" customHeight="1">
      <c r="A1" s="92" t="s">
        <v>446</v>
      </c>
    </row>
    <row r="2" spans="1:11" ht="18.75" customHeight="1">
      <c r="A2" s="556" t="s">
        <v>809</v>
      </c>
      <c r="B2" s="557"/>
      <c r="C2" s="233"/>
      <c r="D2" s="556" t="s">
        <v>810</v>
      </c>
      <c r="E2" s="557"/>
      <c r="F2" s="557"/>
      <c r="G2" s="557"/>
      <c r="H2" s="557"/>
      <c r="I2" s="557"/>
      <c r="J2" s="557"/>
      <c r="K2" s="560"/>
    </row>
    <row r="3" spans="1:11" ht="18.75" customHeight="1">
      <c r="A3" s="558"/>
      <c r="B3" s="559"/>
      <c r="C3" s="230" t="s">
        <v>644</v>
      </c>
      <c r="D3" s="558"/>
      <c r="E3" s="561"/>
      <c r="F3" s="561"/>
      <c r="G3" s="561"/>
      <c r="H3" s="561"/>
      <c r="I3" s="561"/>
      <c r="J3" s="561"/>
      <c r="K3" s="559"/>
    </row>
    <row r="4" spans="1:11" ht="40.5" customHeight="1">
      <c r="A4" s="554" t="s">
        <v>645</v>
      </c>
      <c r="B4" s="555"/>
      <c r="C4" s="355"/>
      <c r="D4" s="551"/>
      <c r="E4" s="552"/>
      <c r="F4" s="552"/>
      <c r="G4" s="552"/>
      <c r="H4" s="552"/>
      <c r="I4" s="552"/>
      <c r="J4" s="552"/>
      <c r="K4" s="553"/>
    </row>
    <row r="5" spans="1:11" ht="40.5" customHeight="1">
      <c r="A5" s="554" t="s">
        <v>646</v>
      </c>
      <c r="B5" s="555"/>
      <c r="C5" s="355"/>
      <c r="D5" s="551"/>
      <c r="E5" s="552"/>
      <c r="F5" s="552"/>
      <c r="G5" s="552"/>
      <c r="H5" s="552"/>
      <c r="I5" s="552"/>
      <c r="J5" s="552"/>
      <c r="K5" s="553"/>
    </row>
    <row r="6" spans="1:11" ht="40.5" customHeight="1">
      <c r="A6" s="554" t="s">
        <v>647</v>
      </c>
      <c r="B6" s="555"/>
      <c r="C6" s="355"/>
      <c r="D6" s="551"/>
      <c r="E6" s="552"/>
      <c r="F6" s="552"/>
      <c r="G6" s="552"/>
      <c r="H6" s="552"/>
      <c r="I6" s="552"/>
      <c r="J6" s="552"/>
      <c r="K6" s="553"/>
    </row>
    <row r="7" spans="1:11" ht="40.5" customHeight="1">
      <c r="A7" s="554" t="s">
        <v>648</v>
      </c>
      <c r="B7" s="555"/>
      <c r="C7" s="355"/>
      <c r="D7" s="551"/>
      <c r="E7" s="552"/>
      <c r="F7" s="552"/>
      <c r="G7" s="552"/>
      <c r="H7" s="552"/>
      <c r="I7" s="552"/>
      <c r="J7" s="552"/>
      <c r="K7" s="553"/>
    </row>
    <row r="8" spans="1:11" ht="40.5" customHeight="1">
      <c r="A8" s="554" t="s">
        <v>649</v>
      </c>
      <c r="B8" s="555"/>
      <c r="C8" s="355"/>
      <c r="D8" s="551"/>
      <c r="E8" s="552"/>
      <c r="F8" s="552"/>
      <c r="G8" s="552"/>
      <c r="H8" s="552"/>
      <c r="I8" s="552"/>
      <c r="J8" s="552"/>
      <c r="K8" s="553"/>
    </row>
    <row r="9" spans="1:11" ht="40.5" customHeight="1">
      <c r="A9" s="554" t="s">
        <v>650</v>
      </c>
      <c r="B9" s="555"/>
      <c r="C9" s="355"/>
      <c r="D9" s="551"/>
      <c r="E9" s="552"/>
      <c r="F9" s="552"/>
      <c r="G9" s="552"/>
      <c r="H9" s="552"/>
      <c r="I9" s="552"/>
      <c r="J9" s="552"/>
      <c r="K9" s="553"/>
    </row>
    <row r="10" spans="1:11" ht="40.5" customHeight="1">
      <c r="A10" s="554" t="s">
        <v>651</v>
      </c>
      <c r="B10" s="555"/>
      <c r="C10" s="355"/>
      <c r="D10" s="551"/>
      <c r="E10" s="552"/>
      <c r="F10" s="552"/>
      <c r="G10" s="552"/>
      <c r="H10" s="552"/>
      <c r="I10" s="552"/>
      <c r="J10" s="552"/>
      <c r="K10" s="553"/>
    </row>
    <row r="11" spans="1:11" ht="40.5" customHeight="1">
      <c r="A11" s="554" t="s">
        <v>652</v>
      </c>
      <c r="B11" s="555"/>
      <c r="C11" s="355"/>
      <c r="D11" s="551"/>
      <c r="E11" s="552"/>
      <c r="F11" s="552"/>
      <c r="G11" s="552"/>
      <c r="H11" s="552"/>
      <c r="I11" s="552"/>
      <c r="J11" s="552"/>
      <c r="K11" s="553"/>
    </row>
    <row r="12" spans="1:11" ht="40.5" customHeight="1">
      <c r="A12" s="554" t="s">
        <v>653</v>
      </c>
      <c r="B12" s="555"/>
      <c r="C12" s="355"/>
      <c r="D12" s="551"/>
      <c r="E12" s="552"/>
      <c r="F12" s="552"/>
      <c r="G12" s="552"/>
      <c r="H12" s="552"/>
      <c r="I12" s="552"/>
      <c r="J12" s="552"/>
      <c r="K12" s="553"/>
    </row>
    <row r="13" spans="1:11" ht="40.5" customHeight="1">
      <c r="A13" s="554" t="s">
        <v>654</v>
      </c>
      <c r="B13" s="555"/>
      <c r="C13" s="355"/>
      <c r="D13" s="551"/>
      <c r="E13" s="552"/>
      <c r="F13" s="552"/>
      <c r="G13" s="552"/>
      <c r="H13" s="552"/>
      <c r="I13" s="552"/>
      <c r="J13" s="552"/>
      <c r="K13" s="553"/>
    </row>
    <row r="14" spans="1:11" ht="40.5" customHeight="1">
      <c r="A14" s="562" t="s">
        <v>655</v>
      </c>
      <c r="B14" s="562"/>
      <c r="C14" s="355"/>
      <c r="D14" s="551"/>
      <c r="E14" s="552"/>
      <c r="F14" s="552"/>
      <c r="G14" s="552"/>
      <c r="H14" s="552"/>
      <c r="I14" s="552"/>
      <c r="J14" s="552"/>
      <c r="K14" s="553"/>
    </row>
    <row r="15" spans="1:11" ht="40.5" customHeight="1">
      <c r="A15" s="563" t="s">
        <v>817</v>
      </c>
      <c r="B15" s="563"/>
      <c r="C15" s="355"/>
      <c r="D15" s="551"/>
      <c r="E15" s="552"/>
      <c r="F15" s="552"/>
      <c r="G15" s="552"/>
      <c r="H15" s="552"/>
      <c r="I15" s="552"/>
      <c r="J15" s="552"/>
      <c r="K15" s="553"/>
    </row>
    <row r="16" spans="1:11" ht="40.5" customHeight="1">
      <c r="A16" s="563" t="s">
        <v>573</v>
      </c>
      <c r="B16" s="563"/>
      <c r="C16" s="355"/>
      <c r="D16" s="551"/>
      <c r="E16" s="552"/>
      <c r="F16" s="552"/>
      <c r="G16" s="552"/>
      <c r="H16" s="552"/>
      <c r="I16" s="552"/>
      <c r="J16" s="552"/>
      <c r="K16" s="553"/>
    </row>
    <row r="18" spans="1:14" ht="13.5" customHeight="1">
      <c r="A18" s="529"/>
      <c r="B18" s="530"/>
      <c r="C18" s="531"/>
      <c r="D18" s="533" t="s">
        <v>283</v>
      </c>
      <c r="E18" s="533"/>
      <c r="F18" s="533" t="s">
        <v>284</v>
      </c>
      <c r="G18" s="533"/>
      <c r="H18" s="533" t="s">
        <v>631</v>
      </c>
      <c r="I18" s="533"/>
      <c r="J18" s="539" t="s">
        <v>594</v>
      </c>
      <c r="K18" s="540"/>
      <c r="N18" s="96"/>
    </row>
    <row r="19" spans="1:14" ht="13.5" customHeight="1">
      <c r="A19" s="93" t="s">
        <v>811</v>
      </c>
      <c r="B19" s="225"/>
      <c r="C19" s="94"/>
      <c r="D19" s="545">
        <f>IF(D23="","",SUMIF('様式4'!$Z$4:$Z$303,"=乗",'様式4'!$Q$4:$Q$303)*0.1)</f>
        <v>0</v>
      </c>
      <c r="E19" s="546"/>
      <c r="F19" s="545">
        <f>IF(F23="","",SUMIF('様式4'!$Z$4:$Z$303,"=貨",'様式4'!$Q$4:$Q$303)+SUMIF('様式4'!$Z$4:$Z$303,"=小",'様式4'!$Q$4:$Q$303))</f>
        <v>0</v>
      </c>
      <c r="G19" s="546"/>
      <c r="H19" s="545">
        <f>IF(H23="","",SUMIF('様式4'!$Z$4:$Z$303,"=バ",'様式4'!$Q$4:$Q$303)*2)</f>
        <v>0</v>
      </c>
      <c r="I19" s="546"/>
      <c r="J19" s="547">
        <f>IF(J23="","",D19+F19+H19)</f>
        <v>0</v>
      </c>
      <c r="K19" s="546"/>
      <c r="N19" s="96"/>
    </row>
    <row r="20" spans="1:14" ht="13.5" customHeight="1">
      <c r="A20" s="529" t="s">
        <v>812</v>
      </c>
      <c r="B20" s="530"/>
      <c r="C20" s="531"/>
      <c r="D20" s="91"/>
      <c r="E20" s="223" t="s">
        <v>448</v>
      </c>
      <c r="F20" s="91"/>
      <c r="G20" s="223" t="s">
        <v>448</v>
      </c>
      <c r="H20" s="91"/>
      <c r="I20" s="223" t="s">
        <v>448</v>
      </c>
      <c r="J20" s="356">
        <f>IF(AND(ISBLANK(D20),ISBLANK(F20),ISBLANK(H20)),"",(D19*D20+F19*F20+H19*H20)/J19)</f>
      </c>
      <c r="K20" s="223" t="s">
        <v>448</v>
      </c>
      <c r="N20" s="98"/>
    </row>
    <row r="21" spans="1:14" ht="13.5" customHeight="1">
      <c r="A21" s="95"/>
      <c r="B21" s="95"/>
      <c r="C21" s="95"/>
      <c r="D21" s="100"/>
      <c r="E21" s="227"/>
      <c r="F21" s="100"/>
      <c r="G21" s="227"/>
      <c r="H21" s="100"/>
      <c r="I21" s="226"/>
      <c r="J21" s="97"/>
      <c r="N21" s="98"/>
    </row>
    <row r="22" spans="1:14" ht="13.5" customHeight="1">
      <c r="A22" s="529"/>
      <c r="B22" s="530"/>
      <c r="C22" s="531"/>
      <c r="D22" s="533" t="s">
        <v>283</v>
      </c>
      <c r="E22" s="533"/>
      <c r="F22" s="533" t="s">
        <v>284</v>
      </c>
      <c r="G22" s="533"/>
      <c r="H22" s="533" t="s">
        <v>399</v>
      </c>
      <c r="I22" s="533"/>
      <c r="J22" s="539" t="s">
        <v>594</v>
      </c>
      <c r="K22" s="544"/>
      <c r="N22" s="96"/>
    </row>
    <row r="23" spans="1:14" ht="13.5" customHeight="1">
      <c r="A23" s="93" t="s">
        <v>813</v>
      </c>
      <c r="B23" s="225"/>
      <c r="C23" s="94"/>
      <c r="D23" s="523">
        <f>SUMIF('様式4'!$Z$4:$Z$303,"=乗",'様式4'!$Q$4:$Q$303)</f>
        <v>0</v>
      </c>
      <c r="E23" s="524"/>
      <c r="F23" s="523">
        <f>SUMIF('様式4'!$Z$4:$Z$303,"=貨",'様式4'!$Q$4:$Q$303)+SUMIF('様式4'!$Z$4:$Z$303,"=小",'様式4'!$Q$4:$Q$303)</f>
        <v>0</v>
      </c>
      <c r="G23" s="524"/>
      <c r="H23" s="523">
        <f>SUMIF('様式4'!$Z$4:$Z$303,"=バ",'様式4'!$Q$4:$Q$303)</f>
        <v>0</v>
      </c>
      <c r="I23" s="524"/>
      <c r="J23" s="525">
        <f>D23+F23+H23</f>
        <v>0</v>
      </c>
      <c r="K23" s="524"/>
      <c r="N23" s="98"/>
    </row>
    <row r="24" spans="1:21" ht="13.5" customHeight="1">
      <c r="A24" s="228" t="s">
        <v>814</v>
      </c>
      <c r="B24" s="229"/>
      <c r="C24" s="99"/>
      <c r="D24" s="523">
        <f>IF(D23="","",SUMIF('様式4'!$Z$4:$Z$303,"=乗",'様式4'!$Q$4:$Q$303)*(100-D20)/100)</f>
        <v>0</v>
      </c>
      <c r="E24" s="524"/>
      <c r="F24" s="523">
        <f>IF(F23="","",(SUMIF('様式4'!$Z$4:$Z$303,"=貨",'様式4'!$Q$4:$Q$303)+SUMIF('様式4'!$Z$4:$Z$303,"=小",'様式4'!$Q$4:$Q$303))*(100-F20)/100)</f>
        <v>0</v>
      </c>
      <c r="G24" s="524"/>
      <c r="H24" s="523">
        <f>IF(H23="","",SUMIF('様式4'!$Z$4:$Z$303,"=バ",'様式4'!$Q$4:$Q$303)*(100-H20)/100)</f>
        <v>0</v>
      </c>
      <c r="I24" s="524"/>
      <c r="J24" s="525">
        <f>IF(J23="","",D24+F24+H24)</f>
        <v>0</v>
      </c>
      <c r="K24" s="524"/>
      <c r="L24" s="98"/>
      <c r="M24" s="98"/>
      <c r="N24" s="98"/>
      <c r="P24" s="100"/>
      <c r="Q24" s="100"/>
      <c r="R24" s="100"/>
      <c r="S24" s="100"/>
      <c r="T24" s="95"/>
      <c r="U24" s="95"/>
    </row>
    <row r="25" spans="1:21" ht="13.5" customHeight="1" thickBot="1">
      <c r="A25" s="100"/>
      <c r="B25" s="100"/>
      <c r="C25" s="100"/>
      <c r="D25" s="100"/>
      <c r="E25" s="95"/>
      <c r="F25" s="101"/>
      <c r="G25" s="101"/>
      <c r="H25" s="101"/>
      <c r="I25" s="101"/>
      <c r="J25" s="97"/>
      <c r="K25" s="98"/>
      <c r="L25" s="98"/>
      <c r="M25" s="98"/>
      <c r="N25" s="98"/>
      <c r="P25" s="100"/>
      <c r="Q25" s="100"/>
      <c r="R25" s="100"/>
      <c r="S25" s="100"/>
      <c r="T25" s="95"/>
      <c r="U25" s="95"/>
    </row>
    <row r="26" spans="1:19" ht="27" customHeight="1" thickBot="1">
      <c r="A26" s="534" t="s">
        <v>924</v>
      </c>
      <c r="B26" s="535"/>
      <c r="C26" s="536"/>
      <c r="E26" s="548" t="s">
        <v>815</v>
      </c>
      <c r="F26" s="549"/>
      <c r="G26" s="550"/>
      <c r="I26" s="541" t="s">
        <v>816</v>
      </c>
      <c r="J26" s="542"/>
      <c r="K26" s="543"/>
      <c r="L26" s="98"/>
      <c r="M26" s="102"/>
      <c r="N26" s="100"/>
      <c r="P26" s="100"/>
      <c r="Q26" s="100"/>
      <c r="R26" s="95"/>
      <c r="S26" s="95"/>
    </row>
    <row r="27" spans="1:19" ht="13.5" customHeight="1" thickBot="1">
      <c r="A27" s="532">
        <f>'様式5'!M28</f>
      </c>
      <c r="B27" s="537"/>
      <c r="C27" s="538"/>
      <c r="D27" s="234" t="s">
        <v>634</v>
      </c>
      <c r="E27" s="532">
        <f>IF(AND(ISBLANK(D20),ISBLANK(F20),ISBLANK(H20)),"",(D19*D20+F19*F20+H19*H20)/J19*2)</f>
      </c>
      <c r="F27" s="530"/>
      <c r="G27" s="531"/>
      <c r="H27" s="234" t="s">
        <v>635</v>
      </c>
      <c r="I27" s="526">
        <f>IF(ISERROR('様式5'!M28+E27)=TRUE,"",'様式5'!M28+E27)</f>
      </c>
      <c r="J27" s="527"/>
      <c r="K27" s="528"/>
      <c r="L27" s="98"/>
      <c r="M27" s="95"/>
      <c r="N27" s="100"/>
      <c r="P27" s="100"/>
      <c r="Q27" s="100"/>
      <c r="R27" s="95"/>
      <c r="S27" s="95"/>
    </row>
    <row r="28" spans="1:21" ht="13.5" customHeight="1">
      <c r="A28" s="100"/>
      <c r="B28" s="100"/>
      <c r="C28" s="100"/>
      <c r="N28" s="98"/>
      <c r="P28" s="100"/>
      <c r="Q28" s="100"/>
      <c r="R28" s="100"/>
      <c r="S28" s="100"/>
      <c r="T28" s="95"/>
      <c r="U28" s="95"/>
    </row>
    <row r="29" spans="1:23" ht="13.5" customHeight="1">
      <c r="A29" s="100"/>
      <c r="B29" s="100"/>
      <c r="C29" s="100"/>
      <c r="L29" s="98"/>
      <c r="M29" s="98"/>
      <c r="N29" s="98"/>
      <c r="P29" s="357"/>
      <c r="Q29" s="357"/>
      <c r="R29" s="357"/>
      <c r="S29" s="357"/>
      <c r="T29" s="357"/>
      <c r="U29" s="357"/>
      <c r="V29" s="357"/>
      <c r="W29" s="357"/>
    </row>
    <row r="36" spans="1:14" ht="13.5" customHeight="1">
      <c r="A36" s="100"/>
      <c r="B36" s="100"/>
      <c r="C36" s="100"/>
      <c r="D36" s="100"/>
      <c r="E36" s="100"/>
      <c r="F36" s="100"/>
      <c r="G36" s="100"/>
      <c r="H36" s="100"/>
      <c r="I36" s="100"/>
      <c r="J36" s="97"/>
      <c r="K36" s="98"/>
      <c r="L36" s="98"/>
      <c r="M36" s="98"/>
      <c r="N36" s="98"/>
    </row>
  </sheetData>
  <sheetProtection/>
  <mergeCells count="57">
    <mergeCell ref="A14:B14"/>
    <mergeCell ref="A16:B16"/>
    <mergeCell ref="D13:K13"/>
    <mergeCell ref="D14:K14"/>
    <mergeCell ref="D16:K16"/>
    <mergeCell ref="A15:B15"/>
    <mergeCell ref="D15:K15"/>
    <mergeCell ref="A7:B7"/>
    <mergeCell ref="A8:B8"/>
    <mergeCell ref="A11:B11"/>
    <mergeCell ref="A12:B12"/>
    <mergeCell ref="D7:K7"/>
    <mergeCell ref="D8:K8"/>
    <mergeCell ref="A2:B3"/>
    <mergeCell ref="A4:B4"/>
    <mergeCell ref="D2:K3"/>
    <mergeCell ref="D4:K4"/>
    <mergeCell ref="D5:K5"/>
    <mergeCell ref="D6:K6"/>
    <mergeCell ref="A5:B5"/>
    <mergeCell ref="A6:B6"/>
    <mergeCell ref="A22:C22"/>
    <mergeCell ref="D22:E22"/>
    <mergeCell ref="E26:G26"/>
    <mergeCell ref="D9:K9"/>
    <mergeCell ref="D10:K10"/>
    <mergeCell ref="D11:K11"/>
    <mergeCell ref="D12:K12"/>
    <mergeCell ref="A9:B9"/>
    <mergeCell ref="A10:B10"/>
    <mergeCell ref="A13:B13"/>
    <mergeCell ref="F22:G22"/>
    <mergeCell ref="D18:E18"/>
    <mergeCell ref="F18:G18"/>
    <mergeCell ref="J22:K22"/>
    <mergeCell ref="D19:E19"/>
    <mergeCell ref="F19:G19"/>
    <mergeCell ref="H19:I19"/>
    <mergeCell ref="J19:K19"/>
    <mergeCell ref="I27:K27"/>
    <mergeCell ref="A20:C20"/>
    <mergeCell ref="E27:G27"/>
    <mergeCell ref="H18:I18"/>
    <mergeCell ref="H22:I22"/>
    <mergeCell ref="A26:C26"/>
    <mergeCell ref="A27:C27"/>
    <mergeCell ref="J18:K18"/>
    <mergeCell ref="I26:K26"/>
    <mergeCell ref="A18:C18"/>
    <mergeCell ref="D23:E23"/>
    <mergeCell ref="D24:E24"/>
    <mergeCell ref="F23:G23"/>
    <mergeCell ref="F24:G24"/>
    <mergeCell ref="H23:I23"/>
    <mergeCell ref="H24:I24"/>
    <mergeCell ref="J23:K23"/>
    <mergeCell ref="J24:K24"/>
  </mergeCells>
  <dataValidations count="4">
    <dataValidation allowBlank="1" showInputMessage="1" showErrorMessage="1" imeMode="halfAlpha" sqref="D36 D6 F36 F6 H36 H6 D25 F21 F25 J20 D21 H25 H21"/>
    <dataValidation type="list" allowBlank="1" showInputMessage="1" showErrorMessage="1" sqref="C4:C16">
      <formula1>"○"</formula1>
    </dataValidation>
    <dataValidation type="decimal" operator="greaterThanOrEqual" allowBlank="1" showInputMessage="1" showErrorMessage="1" imeMode="halfAlpha" sqref="D20 F20">
      <formula1>0</formula1>
    </dataValidation>
    <dataValidation type="decimal" operator="greaterThanOrEqual" allowBlank="1" showInputMessage="1" showErrorMessage="1" imeMode="halfAlpha" sqref="H20">
      <formula1>0</formula1>
    </dataValidation>
  </dataValidations>
  <printOptions/>
  <pageMargins left="0.7874015748031497" right="0.7874015748031497" top="0.7874015748031497" bottom="0.7874015748031497" header="0.5118110236220472" footer="0.5118110236220472"/>
  <pageSetup horizontalDpi="300" verticalDpi="300" orientation="portrait" paperSize="9" r:id="rId1"/>
  <headerFooter alignWithMargins="0">
    <oddHeader>&amp;R様式７</oddHeader>
  </headerFooter>
</worksheet>
</file>

<file path=xl/worksheets/sheet9.xml><?xml version="1.0" encoding="utf-8"?>
<worksheet xmlns="http://schemas.openxmlformats.org/spreadsheetml/2006/main" xmlns:r="http://schemas.openxmlformats.org/officeDocument/2006/relationships">
  <dimension ref="A1:W28"/>
  <sheetViews>
    <sheetView workbookViewId="0" topLeftCell="A1">
      <selection activeCell="F7" sqref="F7"/>
    </sheetView>
  </sheetViews>
  <sheetFormatPr defaultColWidth="9.00390625" defaultRowHeight="13.5"/>
  <cols>
    <col min="1" max="1" width="1.37890625" style="0" customWidth="1"/>
    <col min="2" max="2" width="14.375" style="0" customWidth="1"/>
    <col min="3" max="3" width="5.00390625" style="0" customWidth="1"/>
    <col min="4" max="4" width="6.875" style="0" customWidth="1"/>
    <col min="5" max="5" width="13.00390625" style="0" bestFit="1" customWidth="1"/>
    <col min="6" max="6" width="10.00390625" style="0" customWidth="1"/>
    <col min="7" max="8" width="6.875" style="0" customWidth="1"/>
    <col min="9" max="9" width="4.625" style="0" customWidth="1"/>
    <col min="10" max="12" width="6.875" style="0" customWidth="1"/>
    <col min="13" max="13" width="3.00390625" style="0" customWidth="1"/>
    <col min="14" max="26" width="6.875" style="0" customWidth="1"/>
  </cols>
  <sheetData>
    <row r="1" spans="1:6" ht="13.5">
      <c r="A1" t="s">
        <v>632</v>
      </c>
      <c r="D1" s="92"/>
      <c r="F1" s="92"/>
    </row>
    <row r="2" spans="1:9" ht="27" customHeight="1">
      <c r="A2" s="568" t="s">
        <v>640</v>
      </c>
      <c r="B2" s="569"/>
      <c r="C2" s="569"/>
      <c r="D2" s="569"/>
      <c r="E2" s="40" t="s">
        <v>372</v>
      </c>
      <c r="F2" s="40" t="s">
        <v>925</v>
      </c>
      <c r="G2" s="570">
        <f>SUM('様式4'!$R$4:$R$303)</f>
        <v>0</v>
      </c>
      <c r="H2" s="571"/>
      <c r="I2" s="335" t="s">
        <v>337</v>
      </c>
    </row>
    <row r="3" spans="1:10" ht="27" customHeight="1">
      <c r="A3" s="569"/>
      <c r="B3" s="569"/>
      <c r="C3" s="569"/>
      <c r="D3" s="569"/>
      <c r="E3" s="336" t="s">
        <v>25</v>
      </c>
      <c r="F3" s="337" t="s">
        <v>926</v>
      </c>
      <c r="G3" s="572"/>
      <c r="H3" s="573"/>
      <c r="I3" s="338" t="s">
        <v>421</v>
      </c>
      <c r="J3" s="41"/>
    </row>
    <row r="4" spans="1:10" ht="27" customHeight="1">
      <c r="A4" s="568" t="s">
        <v>26</v>
      </c>
      <c r="B4" s="569"/>
      <c r="C4" s="569"/>
      <c r="D4" s="569"/>
      <c r="E4" s="336" t="s">
        <v>372</v>
      </c>
      <c r="F4" s="337" t="s">
        <v>925</v>
      </c>
      <c r="G4" s="570">
        <f>SUM('様式4'!$S$4:$S$303)</f>
        <v>0</v>
      </c>
      <c r="H4" s="571"/>
      <c r="I4" s="338" t="s">
        <v>337</v>
      </c>
      <c r="J4" s="41"/>
    </row>
    <row r="5" spans="1:22" ht="27" customHeight="1">
      <c r="A5" s="569"/>
      <c r="B5" s="569"/>
      <c r="C5" s="569"/>
      <c r="D5" s="569"/>
      <c r="E5" s="336" t="s">
        <v>25</v>
      </c>
      <c r="F5" s="337" t="s">
        <v>926</v>
      </c>
      <c r="G5" s="572"/>
      <c r="H5" s="573"/>
      <c r="I5" s="338" t="s">
        <v>421</v>
      </c>
      <c r="J5" s="41"/>
      <c r="N5" s="95"/>
      <c r="O5" s="100"/>
      <c r="P5" s="100"/>
      <c r="Q5" s="100"/>
      <c r="R5" s="100"/>
      <c r="S5" s="95"/>
      <c r="T5" s="95"/>
      <c r="U5" s="92"/>
      <c r="V5" s="92"/>
    </row>
    <row r="6" spans="2:23" ht="13.5">
      <c r="B6" s="3"/>
      <c r="C6" s="3"/>
      <c r="D6" s="3"/>
      <c r="E6" s="3"/>
      <c r="F6" s="62"/>
      <c r="G6" s="95"/>
      <c r="H6" s="231"/>
      <c r="I6" s="232"/>
      <c r="J6" s="43"/>
      <c r="K6" s="41"/>
      <c r="O6" s="95"/>
      <c r="P6" s="100"/>
      <c r="Q6" s="100"/>
      <c r="R6" s="100"/>
      <c r="S6" s="100"/>
      <c r="T6" s="95"/>
      <c r="U6" s="95"/>
      <c r="V6" s="92"/>
      <c r="W6" s="92"/>
    </row>
    <row r="7" spans="1:21" s="92" customFormat="1" ht="13.5" customHeight="1">
      <c r="A7" s="100"/>
      <c r="B7" s="100"/>
      <c r="C7" s="100"/>
      <c r="D7" s="100"/>
      <c r="E7" s="100"/>
      <c r="F7" s="100"/>
      <c r="G7" s="100"/>
      <c r="H7" s="100"/>
      <c r="I7" s="100"/>
      <c r="J7" s="97"/>
      <c r="K7" s="98"/>
      <c r="L7" s="98"/>
      <c r="M7" s="98"/>
      <c r="N7" s="98"/>
      <c r="O7" s="95"/>
      <c r="P7" s="100"/>
      <c r="Q7" s="100"/>
      <c r="R7" s="100"/>
      <c r="S7" s="100"/>
      <c r="T7" s="95"/>
      <c r="U7" s="95"/>
    </row>
    <row r="8" s="92" customFormat="1" ht="13.5" customHeight="1">
      <c r="A8" s="92" t="s">
        <v>633</v>
      </c>
    </row>
    <row r="9" spans="1:13" s="92" customFormat="1" ht="18.75" customHeight="1">
      <c r="A9" s="556" t="s">
        <v>809</v>
      </c>
      <c r="B9" s="574"/>
      <c r="C9" s="233"/>
      <c r="D9" s="556" t="s">
        <v>810</v>
      </c>
      <c r="E9" s="577"/>
      <c r="F9" s="577"/>
      <c r="G9" s="577"/>
      <c r="H9" s="577"/>
      <c r="I9" s="577"/>
      <c r="J9" s="577"/>
      <c r="K9" s="557"/>
      <c r="L9" s="557"/>
      <c r="M9" s="560"/>
    </row>
    <row r="10" spans="1:13" s="92" customFormat="1" ht="18.75" customHeight="1">
      <c r="A10" s="575"/>
      <c r="B10" s="576"/>
      <c r="C10" s="230" t="s">
        <v>644</v>
      </c>
      <c r="D10" s="575"/>
      <c r="E10" s="578"/>
      <c r="F10" s="578"/>
      <c r="G10" s="578"/>
      <c r="H10" s="578"/>
      <c r="I10" s="578"/>
      <c r="J10" s="578"/>
      <c r="K10" s="578"/>
      <c r="L10" s="578"/>
      <c r="M10" s="576"/>
    </row>
    <row r="11" spans="1:13" s="92" customFormat="1" ht="67.5" customHeight="1">
      <c r="A11" s="554" t="s">
        <v>641</v>
      </c>
      <c r="B11" s="579"/>
      <c r="C11" s="240"/>
      <c r="D11" s="551"/>
      <c r="E11" s="564"/>
      <c r="F11" s="564"/>
      <c r="G11" s="564"/>
      <c r="H11" s="564"/>
      <c r="I11" s="564"/>
      <c r="J11" s="564"/>
      <c r="K11" s="564"/>
      <c r="L11" s="564"/>
      <c r="M11" s="565"/>
    </row>
    <row r="12" spans="1:13" s="92" customFormat="1" ht="67.5" customHeight="1">
      <c r="A12" s="554" t="s">
        <v>643</v>
      </c>
      <c r="B12" s="579"/>
      <c r="C12" s="240"/>
      <c r="D12" s="551"/>
      <c r="E12" s="564"/>
      <c r="F12" s="564"/>
      <c r="G12" s="564"/>
      <c r="H12" s="564"/>
      <c r="I12" s="564"/>
      <c r="J12" s="564"/>
      <c r="K12" s="564"/>
      <c r="L12" s="564"/>
      <c r="M12" s="565"/>
    </row>
    <row r="13" spans="1:13" s="92" customFormat="1" ht="67.5" customHeight="1">
      <c r="A13" s="554" t="s">
        <v>642</v>
      </c>
      <c r="B13" s="579"/>
      <c r="C13" s="240"/>
      <c r="D13" s="551"/>
      <c r="E13" s="564"/>
      <c r="F13" s="564"/>
      <c r="G13" s="564"/>
      <c r="H13" s="564"/>
      <c r="I13" s="564"/>
      <c r="J13" s="564"/>
      <c r="K13" s="564"/>
      <c r="L13" s="564"/>
      <c r="M13" s="565"/>
    </row>
    <row r="14" spans="1:13" s="92" customFormat="1" ht="67.5" customHeight="1">
      <c r="A14" s="566" t="s">
        <v>573</v>
      </c>
      <c r="B14" s="567"/>
      <c r="C14" s="240"/>
      <c r="D14" s="551"/>
      <c r="E14" s="564"/>
      <c r="F14" s="564"/>
      <c r="G14" s="564"/>
      <c r="H14" s="564"/>
      <c r="I14" s="564"/>
      <c r="J14" s="564"/>
      <c r="K14" s="564"/>
      <c r="L14" s="564"/>
      <c r="M14" s="565"/>
    </row>
    <row r="15" spans="1:13" s="92" customFormat="1" ht="67.5" customHeight="1">
      <c r="A15" s="566" t="s">
        <v>573</v>
      </c>
      <c r="B15" s="567"/>
      <c r="C15" s="240"/>
      <c r="D15" s="551"/>
      <c r="E15" s="564"/>
      <c r="F15" s="564"/>
      <c r="G15" s="564"/>
      <c r="H15" s="564"/>
      <c r="I15" s="564"/>
      <c r="J15" s="564"/>
      <c r="K15" s="564"/>
      <c r="L15" s="564"/>
      <c r="M15" s="565"/>
    </row>
    <row r="16" spans="1:13" s="92" customFormat="1" ht="67.5" customHeight="1">
      <c r="A16" s="566" t="s">
        <v>573</v>
      </c>
      <c r="B16" s="567"/>
      <c r="C16" s="240"/>
      <c r="D16" s="551"/>
      <c r="E16" s="564"/>
      <c r="F16" s="564"/>
      <c r="G16" s="564"/>
      <c r="H16" s="564"/>
      <c r="I16" s="564"/>
      <c r="J16" s="564"/>
      <c r="K16" s="564"/>
      <c r="L16" s="564"/>
      <c r="M16" s="565"/>
    </row>
    <row r="17" s="92" customFormat="1" ht="13.5" customHeight="1"/>
    <row r="26" spans="2:12" ht="13.5">
      <c r="B26" s="41"/>
      <c r="C26" s="41"/>
      <c r="D26" s="41"/>
      <c r="E26" s="41"/>
      <c r="F26" s="41"/>
      <c r="G26" s="41"/>
      <c r="H26" s="41"/>
      <c r="I26" s="41"/>
      <c r="J26" s="41"/>
      <c r="K26" s="41"/>
      <c r="L26" s="41"/>
    </row>
    <row r="27" spans="2:12" ht="13.5">
      <c r="B27" s="41"/>
      <c r="C27" s="41"/>
      <c r="D27" s="41"/>
      <c r="E27" s="41"/>
      <c r="F27" s="41"/>
      <c r="G27" s="41"/>
      <c r="H27" s="41"/>
      <c r="I27" s="41"/>
      <c r="J27" s="41"/>
      <c r="K27" s="41"/>
      <c r="L27" s="41"/>
    </row>
    <row r="28" spans="2:12" ht="13.5">
      <c r="B28" s="41"/>
      <c r="C28" s="41"/>
      <c r="D28" s="41"/>
      <c r="E28" s="41"/>
      <c r="F28" s="41"/>
      <c r="G28" s="41"/>
      <c r="H28" s="41"/>
      <c r="I28" s="41"/>
      <c r="J28" s="41"/>
      <c r="K28" s="41"/>
      <c r="L28" s="41"/>
    </row>
  </sheetData>
  <sheetProtection/>
  <mergeCells count="20">
    <mergeCell ref="A9:B10"/>
    <mergeCell ref="D9:M10"/>
    <mergeCell ref="A16:B16"/>
    <mergeCell ref="D16:M16"/>
    <mergeCell ref="A11:B11"/>
    <mergeCell ref="A12:B12"/>
    <mergeCell ref="A13:B13"/>
    <mergeCell ref="D14:M14"/>
    <mergeCell ref="D11:M11"/>
    <mergeCell ref="A15:B15"/>
    <mergeCell ref="A2:D3"/>
    <mergeCell ref="A4:D5"/>
    <mergeCell ref="G2:H2"/>
    <mergeCell ref="G4:H4"/>
    <mergeCell ref="G3:H3"/>
    <mergeCell ref="G5:H5"/>
    <mergeCell ref="D15:M15"/>
    <mergeCell ref="D12:M12"/>
    <mergeCell ref="D13:M13"/>
    <mergeCell ref="A14:B14"/>
  </mergeCells>
  <dataValidations count="3">
    <dataValidation allowBlank="1" showInputMessage="1" showErrorMessage="1" imeMode="halfAlpha" sqref="D7 F7 H7"/>
    <dataValidation type="list" allowBlank="1" showInputMessage="1" showErrorMessage="1" sqref="C11:C16">
      <formula1>"○"</formula1>
    </dataValidation>
    <dataValidation type="decimal" operator="greaterThanOrEqual" allowBlank="1" showInputMessage="1" showErrorMessage="1" imeMode="halfAlpha" sqref="G3:H3 G5:H5">
      <formula1>0</formula1>
    </dataValidation>
  </dataValidations>
  <printOptions/>
  <pageMargins left="0.75" right="0.75" top="1" bottom="1" header="0.512" footer="0.512"/>
  <pageSetup horizontalDpi="600" verticalDpi="600" orientation="portrait" paperSize="9" scale="94" r:id="rId1"/>
  <headerFooter alignWithMargins="0">
    <oddHeader>&amp;R様式８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2002-08-02T00:08:49Z</cp:lastPrinted>
  <dcterms:created xsi:type="dcterms:W3CDTF">2001-06-28T06:14:21Z</dcterms:created>
  <dcterms:modified xsi:type="dcterms:W3CDTF">2003-07-11T02:53:02Z</dcterms:modified>
  <cp:category/>
  <cp:version/>
  <cp:contentType/>
  <cp:contentStatus/>
</cp:coreProperties>
</file>