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15" yWindow="0" windowWidth="7710" windowHeight="8295" tabRatio="711" activeTab="3"/>
  </bookViews>
  <sheets>
    <sheet name="自動車台帳" sheetId="1" r:id="rId1"/>
    <sheet name="様式1" sheetId="2" r:id="rId2"/>
    <sheet name="様式2" sheetId="3" r:id="rId3"/>
    <sheet name="様式3" sheetId="4" r:id="rId4"/>
    <sheet name="様式4" sheetId="5" r:id="rId5"/>
    <sheet name="様式5" sheetId="6" r:id="rId6"/>
    <sheet name="様式6" sheetId="7" r:id="rId7"/>
    <sheet name="様式7" sheetId="8" r:id="rId8"/>
    <sheet name="様式8" sheetId="9" r:id="rId9"/>
    <sheet name="排出係数表" sheetId="10" r:id="rId10"/>
    <sheet name="削除しないでください" sheetId="11" state="hidden" r:id="rId11"/>
  </sheets>
  <externalReferences>
    <externalReference r:id="rId14"/>
    <externalReference r:id="rId15"/>
    <externalReference r:id="rId16"/>
  </externalReferences>
  <definedNames>
    <definedName name="_xlnm.Print_Area" localSheetId="10">'削除しないでください'!#REF!</definedName>
    <definedName name="_xlnm.Print_Area" localSheetId="0">'自動車台帳'!$C$1:$AA$354</definedName>
    <definedName name="_xlnm.Print_Area" localSheetId="9">'排出係数表'!$I$2:$V$49</definedName>
    <definedName name="_xlnm.Print_Area" localSheetId="5">'様式5'!$A$1:$R$29</definedName>
    <definedName name="_xlnm.Print_Area" localSheetId="6">'様式6'!$A$1:$I$23</definedName>
    <definedName name="月" localSheetId="1">'[2]様式4'!#REF!</definedName>
    <definedName name="月">'自動車台帳'!$M$345:$M$356</definedName>
    <definedName name="産業分類" localSheetId="1">#REF!</definedName>
    <definedName name="市区町村" localSheetId="1">#REF!</definedName>
    <definedName name="市区町村">'削除しないでください'!$A$2:$A$68</definedName>
    <definedName name="実績報告年度">'自動車台帳'!$K$336:$K$339</definedName>
    <definedName name="種類" localSheetId="0">'自動車台帳'!$K$307:$K$314</definedName>
    <definedName name="種類" localSheetId="1">#REF!</definedName>
    <definedName name="種類" localSheetId="5">#REF!</definedName>
    <definedName name="種類">#REF!</definedName>
    <definedName name="重量区分" localSheetId="1">'[2]様式4'!#REF!</definedName>
    <definedName name="初度登録年" localSheetId="1">'[2]様式4'!#REF!</definedName>
    <definedName name="初度登録年">'自動車台帳'!$K$341:$K$373</definedName>
    <definedName name="総括表作成記号" localSheetId="1">'[2]様式4'!#REF!</definedName>
    <definedName name="総括表作成記号">'自動車台帳'!$BE$5:$BE$304</definedName>
    <definedName name="低公害車等燃料">'自動車台帳'!$K$341:$K$354</definedName>
    <definedName name="燃料" localSheetId="1">'[2]様式4'!#REF!</definedName>
    <definedName name="燃料">'自動車台帳'!$K$317:$K$333</definedName>
    <definedName name="燃料ＤＤ">'自動車台帳'!$J$317:$J$333</definedName>
    <definedName name="廃止予定年" localSheetId="1">'[2]様式4'!#REF!</definedName>
  </definedNames>
  <calcPr fullCalcOnLoad="1"/>
</workbook>
</file>

<file path=xl/sharedStrings.xml><?xml version="1.0" encoding="utf-8"?>
<sst xmlns="http://schemas.openxmlformats.org/spreadsheetml/2006/main" count="1989" uniqueCount="810">
  <si>
    <t>排出量(kg)</t>
  </si>
  <si>
    <t>ＮＯｘ</t>
  </si>
  <si>
    <t>ＰＭ</t>
  </si>
  <si>
    <t>低公害車導入率</t>
  </si>
  <si>
    <t>普通貨物自動車</t>
  </si>
  <si>
    <t>小型貨物自動車</t>
  </si>
  <si>
    <t>特種自動車</t>
  </si>
  <si>
    <t>乗用車</t>
  </si>
  <si>
    <t>ガソリン・LPG（超）(ULEV)</t>
  </si>
  <si>
    <t>ガソリン・LPG（優）(LEV)</t>
  </si>
  <si>
    <t>ガソリン・LPG（良）(TLEV)</t>
  </si>
  <si>
    <t>ガソリン・LPG（その他のLEV-6）</t>
  </si>
  <si>
    <t>LPG（その他）</t>
  </si>
  <si>
    <t>01.天然ガス（ＣＮＧ）</t>
  </si>
  <si>
    <t>06.ガソリン（超）（ULEV）</t>
  </si>
  <si>
    <t>06.ＬＰＧ（超）（ULEV）</t>
  </si>
  <si>
    <t>07.ガソリン（優）（LEV）</t>
  </si>
  <si>
    <t>07.ＬＰＧ（優）（LEV）</t>
  </si>
  <si>
    <t>08.ガソリン（良）（TLEV）</t>
  </si>
  <si>
    <t>08.ＬＰＧ（良）（TLEV）</t>
  </si>
  <si>
    <t>09.ガソリン（その他のLEV-6）</t>
  </si>
  <si>
    <t>09.ＬＰＧ（その他のLEV-6）</t>
  </si>
  <si>
    <t>11.ＬＰＧ（その他）</t>
  </si>
  <si>
    <t>12.軽油（その他のLEV-6）</t>
  </si>
  <si>
    <t>02.ハイブリッド（ガソリン）</t>
  </si>
  <si>
    <t>05.メタノール</t>
  </si>
  <si>
    <t>自動車排出粒子状物質(PM)</t>
  </si>
  <si>
    <t>ハイブリッド(軽油)</t>
  </si>
  <si>
    <t>バス</t>
  </si>
  <si>
    <t>①</t>
  </si>
  <si>
    <t>（１／５）</t>
  </si>
  <si>
    <t>（１）</t>
  </si>
  <si>
    <t>ハイブリッドガソリン</t>
  </si>
  <si>
    <t>（３／２）</t>
  </si>
  <si>
    <t>（２）</t>
  </si>
  <si>
    <t>（１／２）</t>
  </si>
  <si>
    <t>メタノール</t>
  </si>
  <si>
    <t>（２）</t>
  </si>
  <si>
    <t>（１）</t>
  </si>
  <si>
    <t>（１／２）</t>
  </si>
  <si>
    <t>（１／３）</t>
  </si>
  <si>
    <t>（１／４）</t>
  </si>
  <si>
    <t>ガソリン・ＬＰＧ</t>
  </si>
  <si>
    <t>KB</t>
  </si>
  <si>
    <t>KC</t>
  </si>
  <si>
    <t>乗用</t>
  </si>
  <si>
    <t>貨物</t>
  </si>
  <si>
    <t>ハイブリッド(ガソリン)</t>
  </si>
  <si>
    <t>ハイブリッド(ガソリン)</t>
  </si>
  <si>
    <t>ハイブリッド(ガソリン)</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</si>
  <si>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</si>
  <si>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</si>
  <si>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</si>
  <si>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</si>
  <si>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</si>
  <si>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</si>
  <si>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</si>
  <si>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</si>
  <si>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</si>
  <si>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</si>
  <si>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</si>
  <si>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</si>
  <si>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</si>
  <si>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</si>
  <si>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</si>
  <si>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</si>
  <si>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</si>
  <si>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</si>
  <si>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</si>
  <si>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</si>
  <si>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</si>
  <si>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</si>
  <si>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</si>
  <si>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</si>
  <si>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</si>
  <si>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</si>
  <si>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</si>
  <si>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</si>
  <si>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</si>
  <si>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</si>
  <si>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</si>
  <si>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</si>
  <si>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</si>
  <si>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</si>
  <si>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</si>
  <si>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</si>
  <si>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</si>
  <si>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</si>
  <si>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</si>
  <si>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</si>
  <si>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</si>
  <si>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</si>
  <si>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美原町</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</si>
  <si>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</si>
  <si>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</si>
  <si>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</si>
  <si>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</si>
  <si>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</si>
  <si>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</si>
  <si>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</si>
  <si>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</si>
  <si>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</si>
  <si>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</si>
  <si>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</si>
  <si>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</si>
  <si>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</si>
  <si>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</si>
  <si>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軽油（その他のLEV6）</t>
  </si>
  <si>
    <t>軽油（その他のLEV-6）</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</si>
  <si>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</si>
  <si>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</si>
  <si>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</si>
  <si>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</si>
  <si>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</si>
  <si>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</si>
  <si>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</si>
  <si>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</si>
  <si>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</si>
  <si>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</si>
  <si>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コード</t>
  </si>
  <si>
    <t>現況</t>
  </si>
  <si>
    <t>役職</t>
  </si>
  <si>
    <t>氏名</t>
  </si>
  <si>
    <t>電話番号</t>
  </si>
  <si>
    <t>ファクシミリ番号</t>
  </si>
  <si>
    <t>電子メールアドレス</t>
  </si>
  <si>
    <t>市町村コード</t>
  </si>
  <si>
    <t>市区町村名(昇順)</t>
  </si>
  <si>
    <t>軽油</t>
  </si>
  <si>
    <t>※事業者コード</t>
  </si>
  <si>
    <t>町名番地等</t>
  </si>
  <si>
    <t>kg</t>
  </si>
  <si>
    <t>重量（排出量計算用）</t>
  </si>
  <si>
    <t>種別１</t>
  </si>
  <si>
    <t>種別２</t>
  </si>
  <si>
    <t>種別記号１</t>
  </si>
  <si>
    <t>種別記号２</t>
  </si>
  <si>
    <t>(改)</t>
  </si>
  <si>
    <t>バ</t>
  </si>
  <si>
    <t>ガ</t>
  </si>
  <si>
    <t>バ</t>
  </si>
  <si>
    <t>4.乗用車</t>
  </si>
  <si>
    <t>03.ハイブリッド(軽油）</t>
  </si>
  <si>
    <t>04.電気</t>
  </si>
  <si>
    <t>ガ</t>
  </si>
  <si>
    <t>ガ</t>
  </si>
  <si>
    <t>小型貨物</t>
  </si>
  <si>
    <t>5.特種車(乗用系)</t>
  </si>
  <si>
    <t>6.特種車(普通貨物系)</t>
  </si>
  <si>
    <t>7.特種車(小型貨物系)</t>
  </si>
  <si>
    <t>8.特種車(バス)</t>
  </si>
  <si>
    <t>重量（総括表用）</t>
  </si>
  <si>
    <t>重量（代替計画）</t>
  </si>
  <si>
    <t>普通貨物3.5t以下</t>
  </si>
  <si>
    <t>普通貨物3.5t超5t以下</t>
  </si>
  <si>
    <t>普通貨物5t超</t>
  </si>
  <si>
    <t>燃料（導入計画）</t>
  </si>
  <si>
    <t>メ</t>
  </si>
  <si>
    <t>うち低公害車の台数</t>
  </si>
  <si>
    <t>自動車の種別</t>
  </si>
  <si>
    <t>換算率</t>
  </si>
  <si>
    <t>種類</t>
  </si>
  <si>
    <t>普通貨物車3.5ｔ未満</t>
  </si>
  <si>
    <t xml:space="preserve"> 〃 3.5ｔ以上5ｔ未満</t>
  </si>
  <si>
    <t xml:space="preserve"> 〃 5ｔ以上</t>
  </si>
  <si>
    <t>小型貨物車</t>
  </si>
  <si>
    <t>ガソリン超</t>
  </si>
  <si>
    <t>ガソリン優</t>
  </si>
  <si>
    <t>バス</t>
  </si>
  <si>
    <t>ガソリン良</t>
  </si>
  <si>
    <t>旧ＬＥＶ等</t>
  </si>
  <si>
    <t>ガソリン（超）</t>
  </si>
  <si>
    <t>ガソリン（優）</t>
  </si>
  <si>
    <t>ガソリン（良）</t>
  </si>
  <si>
    <t>ガソリン（他LEV）</t>
  </si>
  <si>
    <t>軽油（他ＬＥＶ）</t>
  </si>
  <si>
    <t>軽油（その他）</t>
  </si>
  <si>
    <t>普通貨物3.5t以下</t>
  </si>
  <si>
    <t>普通貨物3.5t超5t以下</t>
  </si>
  <si>
    <t>普通貨物5t超</t>
  </si>
  <si>
    <t>分子</t>
  </si>
  <si>
    <t>分母</t>
  </si>
  <si>
    <t>自動車の種別ごとの換算率（仮）</t>
  </si>
  <si>
    <t>％</t>
  </si>
  <si>
    <t>ガソリン（その他）</t>
  </si>
  <si>
    <t>低公害車等の種類ごとの換算率（仮）</t>
  </si>
  <si>
    <t>電気</t>
  </si>
  <si>
    <t>天然ガス</t>
  </si>
  <si>
    <t>kg</t>
  </si>
  <si>
    <t>バス</t>
  </si>
  <si>
    <t>②</t>
  </si>
  <si>
    <t>ハイブリッド軽油</t>
  </si>
  <si>
    <t>ハイブリッドガソリン</t>
  </si>
  <si>
    <t>メタノール</t>
  </si>
  <si>
    <t>ＬＰＧ</t>
  </si>
  <si>
    <t>小</t>
  </si>
  <si>
    <t>低公害車</t>
  </si>
  <si>
    <t>ガソリン・ＬＰＧ</t>
  </si>
  <si>
    <t>総括</t>
  </si>
  <si>
    <t>市区町村名</t>
  </si>
  <si>
    <t>コード</t>
  </si>
  <si>
    <t>10.ガソリン（その他）</t>
  </si>
  <si>
    <t>年</t>
  </si>
  <si>
    <t>ＮＯｘ</t>
  </si>
  <si>
    <t>ＰＭ</t>
  </si>
  <si>
    <t>％削減</t>
  </si>
  <si>
    <t>新規使用台数</t>
  </si>
  <si>
    <t>※整理番号</t>
  </si>
  <si>
    <t>備考　※印の欄には、記入しないでください。</t>
  </si>
  <si>
    <t>1.7t以下</t>
  </si>
  <si>
    <t>1.7t超～2.5t以下</t>
  </si>
  <si>
    <t>2.5t超～3.5t以下</t>
  </si>
  <si>
    <t>3.5t超</t>
  </si>
  <si>
    <t>乗</t>
  </si>
  <si>
    <t>貨</t>
  </si>
  <si>
    <t>軽</t>
  </si>
  <si>
    <t>事業場コード</t>
  </si>
  <si>
    <t>事業者コード</t>
  </si>
  <si>
    <t>月</t>
  </si>
  <si>
    <t>10月</t>
  </si>
  <si>
    <t>11月</t>
  </si>
  <si>
    <t>12月</t>
  </si>
  <si>
    <r>
      <t>その他の措置
(</t>
    </r>
    <r>
      <rPr>
        <sz val="11"/>
        <rFont val="ＭＳ Ｐゴシック"/>
        <family val="0"/>
      </rPr>
      <t xml:space="preserve">              )</t>
    </r>
  </si>
  <si>
    <t>1996(平成8)年</t>
  </si>
  <si>
    <t>1997(平成9)年</t>
  </si>
  <si>
    <t>1998(平成10)年</t>
  </si>
  <si>
    <t>1999(平成11)年</t>
  </si>
  <si>
    <t>2001(平成13)年</t>
  </si>
  <si>
    <t>2002(平成14)年</t>
  </si>
  <si>
    <t>01月</t>
  </si>
  <si>
    <t>合計</t>
  </si>
  <si>
    <t>電</t>
  </si>
  <si>
    <t>1.普通貨物車</t>
  </si>
  <si>
    <t>2.小型貨物車</t>
  </si>
  <si>
    <t>乗用系</t>
  </si>
  <si>
    <t>バス</t>
  </si>
  <si>
    <t>バス</t>
  </si>
  <si>
    <t>氏名又は名称及び住所並びに法人にあってはその代表者の氏名</t>
  </si>
  <si>
    <t>　　　　　　　　　　　　　　　　　　　　　　　　</t>
  </si>
  <si>
    <t xml:space="preserve">
㊞</t>
  </si>
  <si>
    <t>評価ポイント（低公害車の導入）</t>
  </si>
  <si>
    <r>
      <t>自動車排出窒素酸化物(N</t>
    </r>
    <r>
      <rPr>
        <sz val="11"/>
        <rFont val="ＭＳ Ｐゴシック"/>
        <family val="0"/>
      </rPr>
      <t>O</t>
    </r>
    <r>
      <rPr>
        <sz val="11"/>
        <rFont val="ＭＳ Ｐゴシック"/>
        <family val="0"/>
      </rPr>
      <t>x)</t>
    </r>
  </si>
  <si>
    <t>適正運転の実施</t>
  </si>
  <si>
    <t>グリーン配送の推進</t>
  </si>
  <si>
    <t>車両の適正な維持管理</t>
  </si>
  <si>
    <t>共同輸配送の促進</t>
  </si>
  <si>
    <t>帰り荷の確保</t>
  </si>
  <si>
    <t>ジャスト・イン・タイムサービスの改善</t>
  </si>
  <si>
    <t>受注時間と配送時間のルール化</t>
  </si>
  <si>
    <t>検品の簡略化</t>
  </si>
  <si>
    <t>道路混雑時の輸配送の見直し等</t>
  </si>
  <si>
    <t>商品の標準化等</t>
  </si>
  <si>
    <t>モーダルシフトの推進</t>
  </si>
  <si>
    <t>公共交通機関の利用の促進</t>
  </si>
  <si>
    <t>情報化の推進</t>
  </si>
  <si>
    <t>物流施設の高度化、物流拠点の整備等</t>
  </si>
  <si>
    <t>3.バス</t>
  </si>
  <si>
    <t>13.軽油(その他）</t>
  </si>
  <si>
    <t>　自動車の種別、燃料の種類ごとの台キロ（台ｋｍ）</t>
  </si>
  <si>
    <t>C</t>
  </si>
  <si>
    <t>平成　　年　　月　　日</t>
  </si>
  <si>
    <t>特定事業者の氏名又は名称</t>
  </si>
  <si>
    <t>事業場の名称</t>
  </si>
  <si>
    <t>事業場の所在地</t>
  </si>
  <si>
    <t>事業場の連絡先（電話番号）</t>
  </si>
  <si>
    <t>従業員数（人）</t>
  </si>
  <si>
    <t>運転者数(人）</t>
  </si>
  <si>
    <t>自動車の種別、車両総重量別の保有台数</t>
  </si>
  <si>
    <t>事業場コード</t>
  </si>
  <si>
    <t>車両コード</t>
  </si>
  <si>
    <t>自動車登録番号（下４桁）</t>
  </si>
  <si>
    <t>自動車の種別</t>
  </si>
  <si>
    <t>型式</t>
  </si>
  <si>
    <t>車両総重量(kg)</t>
  </si>
  <si>
    <t>燃料</t>
  </si>
  <si>
    <t>初度登録年月</t>
  </si>
  <si>
    <t>ＮＯｘ低減装置装着</t>
  </si>
  <si>
    <t>排出係数</t>
  </si>
  <si>
    <t>内容</t>
  </si>
  <si>
    <t>評価ポイント
(走行量の削減)</t>
  </si>
  <si>
    <t>総合評価ポイント</t>
  </si>
  <si>
    <r>
      <t xml:space="preserve">その他の措置
( </t>
    </r>
    <r>
      <rPr>
        <sz val="11"/>
        <rFont val="ＭＳ Ｐゴシック"/>
        <family val="0"/>
      </rPr>
      <t xml:space="preserve">            </t>
    </r>
    <r>
      <rPr>
        <sz val="11"/>
        <rFont val="ＭＳ Ｐゴシック"/>
        <family val="0"/>
      </rPr>
      <t xml:space="preserve"> </t>
    </r>
    <r>
      <rPr>
        <sz val="11"/>
        <rFont val="ＭＳ Ｐゴシック"/>
        <family val="0"/>
      </rPr>
      <t>)</t>
    </r>
  </si>
  <si>
    <t>2003(平成15)年</t>
  </si>
  <si>
    <t>平成14年度実績</t>
  </si>
  <si>
    <t>平成14年度</t>
  </si>
  <si>
    <t>平成15年度実績</t>
  </si>
  <si>
    <t>平成15年度</t>
  </si>
  <si>
    <t>平成16年度実績</t>
  </si>
  <si>
    <t>平成16年度</t>
  </si>
  <si>
    <t>平成17年度実績</t>
  </si>
  <si>
    <t>平成17年度</t>
  </si>
  <si>
    <t>H14年度走行距離(km)</t>
  </si>
  <si>
    <t>Ｈ１４年度</t>
  </si>
  <si>
    <t>Ｈ１５年度</t>
  </si>
  <si>
    <t>Ｈ１６年度</t>
  </si>
  <si>
    <t>Ｈ１７年度</t>
  </si>
  <si>
    <t>新規or廃止</t>
  </si>
  <si>
    <t>走行距離(km)</t>
  </si>
  <si>
    <t>NOx排出量(kg)</t>
  </si>
  <si>
    <t>PM排出量(kg)</t>
  </si>
  <si>
    <t>報告年度</t>
  </si>
  <si>
    <t>廃止年度</t>
  </si>
  <si>
    <t>カウント</t>
  </si>
  <si>
    <t>マッチ</t>
  </si>
  <si>
    <t>offset</t>
  </si>
  <si>
    <t>自動車台帳</t>
  </si>
  <si>
    <t>自動車使用管理実績報告書提出書</t>
  </si>
  <si>
    <t>　自動車から排出される窒素酸化物及び粒子状物質の特定地域における総量の削減等に関する特別措置法第１８条の規定に基づき、別添のとおり自動車使用管理実績報告書を提出します。</t>
  </si>
  <si>
    <t>実績報告年度記入欄</t>
  </si>
  <si>
    <t>減少台数</t>
  </si>
  <si>
    <t>走行距離（km）</t>
  </si>
  <si>
    <t>新規年度</t>
  </si>
  <si>
    <t>様式６廃止</t>
  </si>
  <si>
    <t>様式６新規</t>
  </si>
  <si>
    <t>走行量の目標（計画書記載）</t>
  </si>
  <si>
    <t>走行量（計画書記載）　</t>
  </si>
  <si>
    <t>換算走行量（計画書記載）</t>
  </si>
  <si>
    <t>走行量削減率（計画書記載）</t>
  </si>
  <si>
    <t>計画書記載</t>
  </si>
  <si>
    <t>排出量（計画書記載）</t>
  </si>
  <si>
    <t>排出量の目標（計画書記載）</t>
  </si>
  <si>
    <t>ＤＰＦ装着(年度)</t>
  </si>
  <si>
    <t>実施事項</t>
  </si>
  <si>
    <t>実施内容</t>
  </si>
  <si>
    <t>ＤＰＦ装着台数</t>
  </si>
  <si>
    <t>担当者所属･氏名及び連絡先</t>
  </si>
  <si>
    <t>所属</t>
  </si>
  <si>
    <t>郵便番号</t>
  </si>
  <si>
    <t>所在地</t>
  </si>
  <si>
    <t>1から</t>
  </si>
  <si>
    <t>６　排出係数</t>
  </si>
  <si>
    <t>排出係数一覧（昇順）</t>
  </si>
  <si>
    <t>排出係数一覧</t>
  </si>
  <si>
    <t>引数</t>
  </si>
  <si>
    <t>ＮＯｘ排出係数</t>
  </si>
  <si>
    <t>ＰＭ排出係数</t>
  </si>
  <si>
    <t>貨1CGG</t>
  </si>
  <si>
    <t>貨1ガH</t>
  </si>
  <si>
    <t>1.7t以下</t>
  </si>
  <si>
    <t>S50前</t>
  </si>
  <si>
    <t>-</t>
  </si>
  <si>
    <t>g/km</t>
  </si>
  <si>
    <t>S54前</t>
  </si>
  <si>
    <t>貨1CGJ</t>
  </si>
  <si>
    <t>貨1ガJ</t>
  </si>
  <si>
    <t>S50</t>
  </si>
  <si>
    <t>H</t>
  </si>
  <si>
    <t>S54</t>
  </si>
  <si>
    <t>K</t>
  </si>
  <si>
    <t>貨1CH</t>
  </si>
  <si>
    <t>要確認</t>
  </si>
  <si>
    <t>貨1ガL</t>
  </si>
  <si>
    <t>J</t>
  </si>
  <si>
    <t>S57,S58</t>
  </si>
  <si>
    <t>N,P</t>
  </si>
  <si>
    <t>貨1CJ</t>
  </si>
  <si>
    <t>貨1ガR</t>
  </si>
  <si>
    <t>S56</t>
  </si>
  <si>
    <t>L</t>
  </si>
  <si>
    <t>S63</t>
  </si>
  <si>
    <t>S</t>
  </si>
  <si>
    <t>貨1CKA</t>
  </si>
  <si>
    <t>貨1ガGG</t>
  </si>
  <si>
    <t>S63,H10</t>
  </si>
  <si>
    <t>R,GG,HL</t>
  </si>
  <si>
    <t>H05</t>
  </si>
  <si>
    <t>KA</t>
  </si>
  <si>
    <t>貨1CKE</t>
  </si>
  <si>
    <t>貨1ガHL</t>
  </si>
  <si>
    <t>H12</t>
  </si>
  <si>
    <t>GJ,HP</t>
  </si>
  <si>
    <t>H09</t>
  </si>
  <si>
    <t>KE,HA</t>
  </si>
  <si>
    <t>貨1CKP</t>
  </si>
  <si>
    <t>貨1ガGJ</t>
  </si>
  <si>
    <t>H14</t>
  </si>
  <si>
    <t>KP,HW</t>
  </si>
  <si>
    <t>貨1CL</t>
  </si>
  <si>
    <t>貨1ガHP</t>
  </si>
  <si>
    <t>H17</t>
  </si>
  <si>
    <t>貨1CLP</t>
  </si>
  <si>
    <t>貨2ガH</t>
  </si>
  <si>
    <t>1.7-2.5t</t>
  </si>
  <si>
    <t>貨1CNC</t>
  </si>
  <si>
    <t>貨2ガJ</t>
  </si>
  <si>
    <t>貨1CR</t>
  </si>
  <si>
    <t>貨2ガL</t>
  </si>
  <si>
    <t>貨1CＳ</t>
  </si>
  <si>
    <t>貨2ガT</t>
  </si>
  <si>
    <t>貨1CTP</t>
  </si>
  <si>
    <t>貨2ガGA</t>
  </si>
  <si>
    <t>貨1CUP</t>
  </si>
  <si>
    <t>貨2ガGC</t>
  </si>
  <si>
    <t>H09,H10</t>
  </si>
  <si>
    <t>KF,HB,KJ,HE</t>
  </si>
  <si>
    <t>貨2ガHG</t>
  </si>
  <si>
    <t>H元</t>
  </si>
  <si>
    <t>T</t>
  </si>
  <si>
    <t>H15</t>
  </si>
  <si>
    <t>KQ,HX</t>
  </si>
  <si>
    <t>貨2ガGK</t>
  </si>
  <si>
    <t>H06,H10</t>
  </si>
  <si>
    <t>GA,GC,HG</t>
  </si>
  <si>
    <t>貨2ガHQ</t>
  </si>
  <si>
    <t>H13</t>
  </si>
  <si>
    <t>GK,HQ</t>
  </si>
  <si>
    <t>2.5-3.5t</t>
  </si>
  <si>
    <t>貨3ガJ</t>
  </si>
  <si>
    <t>貨3ガM</t>
  </si>
  <si>
    <t>貨3ガT</t>
  </si>
  <si>
    <t>S63,H元</t>
  </si>
  <si>
    <t>S,U</t>
  </si>
  <si>
    <t>貨3ガZ</t>
  </si>
  <si>
    <t>H06</t>
  </si>
  <si>
    <t>貨1ガLB</t>
  </si>
  <si>
    <t>貨3ガGB</t>
  </si>
  <si>
    <t>KG,HC</t>
  </si>
  <si>
    <t>貨3ガGE</t>
  </si>
  <si>
    <t>KR,HY</t>
  </si>
  <si>
    <t>貨1ガTB</t>
  </si>
  <si>
    <t>貨3ガHJ</t>
  </si>
  <si>
    <t>S57</t>
  </si>
  <si>
    <t>M</t>
  </si>
  <si>
    <t>貨1ガUB</t>
  </si>
  <si>
    <t>貨3ガGK</t>
  </si>
  <si>
    <t>3.5t超</t>
  </si>
  <si>
    <t>g/km/t</t>
  </si>
  <si>
    <t>貨1ガXB</t>
  </si>
  <si>
    <t>貨3ガHQ</t>
  </si>
  <si>
    <t>H04</t>
  </si>
  <si>
    <t>Z</t>
  </si>
  <si>
    <t>貨1ガYB</t>
  </si>
  <si>
    <t>貨4ガJ</t>
  </si>
  <si>
    <t>H07,H10</t>
  </si>
  <si>
    <t>GB,GE,HJ</t>
  </si>
  <si>
    <t>貨1ガZB</t>
  </si>
  <si>
    <t>貨4ガM</t>
  </si>
  <si>
    <t>H元,H2</t>
  </si>
  <si>
    <t>U,W</t>
  </si>
  <si>
    <t>貨1軽HA</t>
  </si>
  <si>
    <t>貨4ガT</t>
  </si>
  <si>
    <t>貨1軽HW</t>
  </si>
  <si>
    <t>貨4ガZ</t>
  </si>
  <si>
    <t>H10,H11</t>
  </si>
  <si>
    <t>KK,HF,KL,HM</t>
  </si>
  <si>
    <t>貨1軽K</t>
  </si>
  <si>
    <t>貨4ガGB</t>
  </si>
  <si>
    <t>H15,H16</t>
  </si>
  <si>
    <t>KR,HY,KS,HZ</t>
  </si>
  <si>
    <t>貨1軽KA</t>
  </si>
  <si>
    <t>貨4ガGE</t>
  </si>
  <si>
    <t>貨1軽KE</t>
  </si>
  <si>
    <t>貨4ガHJ</t>
  </si>
  <si>
    <t>貨1軽KP</t>
  </si>
  <si>
    <t>貨4ガGL</t>
  </si>
  <si>
    <t>貨1軽N</t>
  </si>
  <si>
    <t>貨4ガHR</t>
  </si>
  <si>
    <t>貨1軽P</t>
  </si>
  <si>
    <t>GL,HR</t>
  </si>
  <si>
    <t>S61,S62</t>
  </si>
  <si>
    <t>Q</t>
  </si>
  <si>
    <t>貨1軽S</t>
  </si>
  <si>
    <t>H2,H4</t>
  </si>
  <si>
    <t>X,Y</t>
  </si>
  <si>
    <t>貨2CGA</t>
  </si>
  <si>
    <t>H6</t>
  </si>
  <si>
    <t>KD</t>
  </si>
  <si>
    <t>貨2CGC</t>
  </si>
  <si>
    <t>A</t>
  </si>
  <si>
    <t>H9,H10</t>
  </si>
  <si>
    <t>KE,HA,KH,HD</t>
  </si>
  <si>
    <t>貨2CGK</t>
  </si>
  <si>
    <t>S51</t>
  </si>
  <si>
    <t>B,C</t>
  </si>
  <si>
    <t>KM,HT,KN,HU</t>
  </si>
  <si>
    <t>貨2CH</t>
  </si>
  <si>
    <t>S53,H10</t>
  </si>
  <si>
    <t>E,GF,HK</t>
  </si>
  <si>
    <t>貨2CJ</t>
  </si>
  <si>
    <t>GH,HN</t>
  </si>
  <si>
    <t>貨2CKB</t>
  </si>
  <si>
    <t>TA,XA</t>
  </si>
  <si>
    <t>貨2CKF</t>
  </si>
  <si>
    <t>LA,YA</t>
  </si>
  <si>
    <t>貨2CKJ</t>
  </si>
  <si>
    <t>貨2軽K</t>
  </si>
  <si>
    <t>UA,ZA</t>
  </si>
  <si>
    <t>貨2CKQ</t>
  </si>
  <si>
    <t>貨2軽N</t>
  </si>
  <si>
    <t>貨2CL</t>
  </si>
  <si>
    <t>貨2軽P</t>
  </si>
  <si>
    <t>貨2CLQ</t>
  </si>
  <si>
    <t>貨2軽S</t>
  </si>
  <si>
    <t>貨2CND</t>
  </si>
  <si>
    <t>貨2軽KB</t>
  </si>
  <si>
    <t>貨2CＳ</t>
  </si>
  <si>
    <t>貨2軽KF</t>
  </si>
  <si>
    <t>貨2CT</t>
  </si>
  <si>
    <t>貨2軽HB</t>
  </si>
  <si>
    <t>貨2CTQ</t>
  </si>
  <si>
    <t>貨2軽KJ</t>
  </si>
  <si>
    <t>貨2CUQ</t>
  </si>
  <si>
    <t>貨2軽HE</t>
  </si>
  <si>
    <t>貨2軽KQ</t>
  </si>
  <si>
    <t>貨2軽HX</t>
  </si>
  <si>
    <t>貨3軽K</t>
  </si>
  <si>
    <t>貨3軽N</t>
  </si>
  <si>
    <t>貨3軽P</t>
  </si>
  <si>
    <t>貨3軽S</t>
  </si>
  <si>
    <t>貨3軽U</t>
  </si>
  <si>
    <t>貨3軽KC</t>
  </si>
  <si>
    <t>貨2ガLC</t>
  </si>
  <si>
    <t>貨3軽KG</t>
  </si>
  <si>
    <t>貨3軽HC</t>
  </si>
  <si>
    <t>貨2ガTC</t>
  </si>
  <si>
    <t>貨3軽KR</t>
  </si>
  <si>
    <t>貨2ガUC</t>
  </si>
  <si>
    <t>貨3軽HY</t>
  </si>
  <si>
    <t>貨2ガXC</t>
  </si>
  <si>
    <t>貨4軽K</t>
  </si>
  <si>
    <t>貨2ガYC</t>
  </si>
  <si>
    <t>貨4軽N</t>
  </si>
  <si>
    <t>貨2ガZC</t>
  </si>
  <si>
    <t>貨4軽P</t>
  </si>
  <si>
    <t>貨4軽U</t>
  </si>
  <si>
    <t>貨4軽W</t>
  </si>
  <si>
    <t>貨4軽KC</t>
  </si>
  <si>
    <t>貨4軽KK</t>
  </si>
  <si>
    <t>貨4軽HF</t>
  </si>
  <si>
    <t>貨4軽KL</t>
  </si>
  <si>
    <t>貨4軽HM</t>
  </si>
  <si>
    <t>貨4軽KR</t>
  </si>
  <si>
    <t>貨4軽HY</t>
  </si>
  <si>
    <t>貨4軽KS</t>
  </si>
  <si>
    <t>貨4軽HZ</t>
  </si>
  <si>
    <t>貨3CGB</t>
  </si>
  <si>
    <t>乗0ガA</t>
  </si>
  <si>
    <t>貨3CGE</t>
  </si>
  <si>
    <t>乗0ガB</t>
  </si>
  <si>
    <t>貨3CGK</t>
  </si>
  <si>
    <t>乗0ガC</t>
  </si>
  <si>
    <t>貨3CJ</t>
  </si>
  <si>
    <t>乗0ガE</t>
  </si>
  <si>
    <t>貨3CKC</t>
  </si>
  <si>
    <t>乗0ガGF</t>
  </si>
  <si>
    <t>貨3CKG</t>
  </si>
  <si>
    <t>乗0ガHK</t>
  </si>
  <si>
    <t>貨3CKR</t>
  </si>
  <si>
    <t>乗0ガGH</t>
  </si>
  <si>
    <t>貨3CLQ</t>
  </si>
  <si>
    <t>乗0ガHN</t>
  </si>
  <si>
    <t>貨3CM</t>
  </si>
  <si>
    <t>乗0ガTA</t>
  </si>
  <si>
    <t>貨3CNE</t>
  </si>
  <si>
    <t>乗0ガXA</t>
  </si>
  <si>
    <t>貨3CS</t>
  </si>
  <si>
    <t>乗0ガLA</t>
  </si>
  <si>
    <t>貨3CT</t>
  </si>
  <si>
    <t>乗0ガYA</t>
  </si>
  <si>
    <t>貨3CTQ</t>
  </si>
  <si>
    <t>乗0ガUA</t>
  </si>
  <si>
    <t>貨3CU</t>
  </si>
  <si>
    <t>乗0ガZA</t>
  </si>
  <si>
    <t>貨3CUQ</t>
  </si>
  <si>
    <t>乗0軽K</t>
  </si>
  <si>
    <t>貨3CZ</t>
  </si>
  <si>
    <t>乗0軽N</t>
  </si>
  <si>
    <t>乗0軽P</t>
  </si>
  <si>
    <t>乗0軽Q</t>
  </si>
  <si>
    <t>乗0軽X</t>
  </si>
  <si>
    <t>乗0軽Y</t>
  </si>
  <si>
    <t>乗0軽KD</t>
  </si>
  <si>
    <t>乗0軽KE</t>
  </si>
  <si>
    <t>乗0軽HA</t>
  </si>
  <si>
    <t>乗0軽KH</t>
  </si>
  <si>
    <t>乗0軽HD</t>
  </si>
  <si>
    <t>乗0軽KM</t>
  </si>
  <si>
    <t>乗0軽HT</t>
  </si>
  <si>
    <t>乗0軽KN</t>
  </si>
  <si>
    <t>乗0軽HU</t>
  </si>
  <si>
    <t>貨4CGB</t>
  </si>
  <si>
    <t>貨4CGE</t>
  </si>
  <si>
    <t>貨4CGL</t>
  </si>
  <si>
    <t>貨4CJ</t>
  </si>
  <si>
    <t>貨4CK</t>
  </si>
  <si>
    <t>貨4CKC</t>
  </si>
  <si>
    <t>貨4CKK</t>
  </si>
  <si>
    <t>貨4CKL</t>
  </si>
  <si>
    <t>貨4CKR</t>
  </si>
  <si>
    <t>貨4CKS</t>
  </si>
  <si>
    <t>貨4CM</t>
  </si>
  <si>
    <t>貨4CN</t>
  </si>
  <si>
    <t>貨4CNE</t>
  </si>
  <si>
    <t>貨4CP</t>
  </si>
  <si>
    <t>貨4CS</t>
  </si>
  <si>
    <t>貨4CT</t>
  </si>
  <si>
    <t>貨4CU</t>
  </si>
  <si>
    <t>貨4CW</t>
  </si>
  <si>
    <t>貨4CZ</t>
  </si>
  <si>
    <t>乗0CA</t>
  </si>
  <si>
    <t>乗0CB</t>
  </si>
  <si>
    <t>乗0CC</t>
  </si>
  <si>
    <t>乗0CE</t>
  </si>
  <si>
    <t>乗0CGF</t>
  </si>
  <si>
    <t>乗0CGH</t>
  </si>
  <si>
    <t>乗0CLA</t>
  </si>
  <si>
    <t>乗0CＬＮ</t>
  </si>
  <si>
    <t>乗0CNA</t>
  </si>
  <si>
    <t>乗0CTA</t>
  </si>
  <si>
    <t>乗0CＴＮ</t>
  </si>
  <si>
    <t>乗0CUA</t>
  </si>
  <si>
    <t>乗0CUN</t>
  </si>
  <si>
    <t>　ガソリン・ＬＰＧ車の排出ガスの原単位</t>
  </si>
  <si>
    <t>ディーゼル車の排出ガスの原単位</t>
  </si>
  <si>
    <t>車両総重量</t>
  </si>
  <si>
    <t>規制年</t>
  </si>
  <si>
    <t>型式の識別記号</t>
  </si>
  <si>
    <t>単位</t>
  </si>
  <si>
    <t>ＮＯx</t>
  </si>
  <si>
    <t>ＰＭ</t>
  </si>
  <si>
    <t>TB,XB</t>
  </si>
  <si>
    <t>LB,YB</t>
  </si>
  <si>
    <t>UB,ZB</t>
  </si>
  <si>
    <t>TC,XC</t>
  </si>
  <si>
    <t>LC,YC</t>
  </si>
  <si>
    <t>UC,ZC</t>
  </si>
  <si>
    <t>重量(原単位用）</t>
  </si>
  <si>
    <t>燃料記号</t>
  </si>
  <si>
    <t>排ガス記号大文字</t>
  </si>
  <si>
    <t>排出係数特定記号</t>
  </si>
  <si>
    <t>暫定排出係数（ＮＯｘ）</t>
  </si>
  <si>
    <t>乗じる値（ＮＯｘ）</t>
  </si>
  <si>
    <t>暫定排出係数（ＰＭ）</t>
  </si>
  <si>
    <t>乗じる値（ＰＭ）</t>
  </si>
  <si>
    <t>02.ハイブリッド（ガソリン）</t>
  </si>
  <si>
    <t>05.メタノール</t>
  </si>
  <si>
    <t>2006(平成18)年</t>
  </si>
  <si>
    <t>2005(平成17)年</t>
  </si>
  <si>
    <t>2004(平成16)年</t>
  </si>
  <si>
    <t>2000(平成12)年</t>
  </si>
  <si>
    <t>1995(平成7)年</t>
  </si>
  <si>
    <t>1994(平成6)年</t>
  </si>
  <si>
    <t>1993(平成5)年</t>
  </si>
  <si>
    <t>1992(平成4)年</t>
  </si>
  <si>
    <t>1991(平成3)年</t>
  </si>
  <si>
    <t>1990(平成2)年</t>
  </si>
  <si>
    <t>1989(平成元)年</t>
  </si>
  <si>
    <t>1988(昭和63)年</t>
  </si>
  <si>
    <t>1987(昭和62)年</t>
  </si>
  <si>
    <t>1986(昭和61)年</t>
  </si>
  <si>
    <t>1985(昭和60)年</t>
  </si>
  <si>
    <t>1984(昭和59)年</t>
  </si>
  <si>
    <t>1983(昭和58)年</t>
  </si>
  <si>
    <t>1982(昭和57)年</t>
  </si>
  <si>
    <t>1981(昭和56)年</t>
  </si>
  <si>
    <t>1980(昭和55)年</t>
  </si>
  <si>
    <t>1979(昭和54)年</t>
  </si>
  <si>
    <t>1978(昭和53)年</t>
  </si>
  <si>
    <t>1977(昭和52)年</t>
  </si>
  <si>
    <t>1976(昭和51)年</t>
  </si>
  <si>
    <t>1975(昭和50)年</t>
  </si>
  <si>
    <t>1974(昭和49)年以前</t>
  </si>
  <si>
    <t>ＮＯＸ</t>
  </si>
  <si>
    <t>ＰＭ</t>
  </si>
  <si>
    <t>02月</t>
  </si>
  <si>
    <t>03月</t>
  </si>
  <si>
    <t>04月</t>
  </si>
  <si>
    <t>05月</t>
  </si>
  <si>
    <t>06月</t>
  </si>
  <si>
    <t>07月</t>
  </si>
  <si>
    <t>08月</t>
  </si>
  <si>
    <t>09月</t>
  </si>
  <si>
    <t>H15.3.31メータ表示距離</t>
  </si>
  <si>
    <t>H16.3.31メータ表示距離</t>
  </si>
  <si>
    <t>H17.3.31メータ表示距離</t>
  </si>
  <si>
    <t>H18.3.31メータ表示距離</t>
  </si>
  <si>
    <t>走行距離エラー</t>
  </si>
  <si>
    <t>車種規制</t>
  </si>
  <si>
    <t>適</t>
  </si>
  <si>
    <t>否</t>
  </si>
  <si>
    <t>初度登録</t>
  </si>
  <si>
    <t>車種規制の適否</t>
  </si>
  <si>
    <t>※「平成14年度走行距離」又は「H15.3.31メータ走行距離」が記入されていません</t>
  </si>
  <si>
    <t>※「H16.3.31メータ走行距離」が記入漏れ又は前年度より減少しています</t>
  </si>
  <si>
    <t>※「H17.3.31メータ走行距離」が記入漏れ又は前年度より減少しています</t>
  </si>
  <si>
    <t>※「H18.3.31メータ走行距離」が記入漏れ又は前年度より減少しています</t>
  </si>
  <si>
    <t>年度フラッグ</t>
  </si>
  <si>
    <t>年度末フラッグ</t>
  </si>
  <si>
    <t>様式３作成記号</t>
  </si>
  <si>
    <t>様式５作成記号</t>
  </si>
  <si>
    <t>自動車使用管理実績報告書</t>
  </si>
  <si>
    <t>DPF係数</t>
  </si>
  <si>
    <t>HA</t>
  </si>
  <si>
    <t>HB</t>
  </si>
  <si>
    <t>HC</t>
  </si>
  <si>
    <t>HE</t>
  </si>
  <si>
    <t>HF</t>
  </si>
  <si>
    <t>HM</t>
  </si>
  <si>
    <t>KE</t>
  </si>
  <si>
    <t>KF</t>
  </si>
  <si>
    <t>KG</t>
  </si>
  <si>
    <t>KJ</t>
  </si>
  <si>
    <t>KK</t>
  </si>
  <si>
    <t>KL</t>
  </si>
  <si>
    <t>N</t>
  </si>
  <si>
    <t>P</t>
  </si>
  <si>
    <t>U</t>
  </si>
  <si>
    <t>W</t>
  </si>
  <si>
    <t>NOx排出係数</t>
  </si>
  <si>
    <t>PM排出係数</t>
  </si>
  <si>
    <t>計画書の走行距離(km)</t>
  </si>
  <si>
    <t>兵　庫　県　知　事　　様</t>
  </si>
  <si>
    <t>兵庫県における主たる事業場の所在地</t>
  </si>
  <si>
    <t>市区町</t>
  </si>
  <si>
    <t>神戸市東灘区</t>
  </si>
  <si>
    <t>芦屋市</t>
  </si>
  <si>
    <t>神戸市灘区</t>
  </si>
  <si>
    <t>伊丹市</t>
  </si>
  <si>
    <t>神戸市兵庫区</t>
  </si>
  <si>
    <t>加古郡稲美町</t>
  </si>
  <si>
    <t>神戸市長田区</t>
  </si>
  <si>
    <t>加古郡播磨町</t>
  </si>
  <si>
    <t>神戸市須磨区</t>
  </si>
  <si>
    <t>加古川市</t>
  </si>
  <si>
    <t>神戸市垂水区</t>
  </si>
  <si>
    <t>加西市</t>
  </si>
  <si>
    <t>神戸市北区</t>
  </si>
  <si>
    <t>加東郡社町</t>
  </si>
  <si>
    <t>神戸市中央区</t>
  </si>
  <si>
    <t>加東郡滝野町</t>
  </si>
  <si>
    <t>神戸市西区</t>
  </si>
  <si>
    <t>加東郡東条町</t>
  </si>
  <si>
    <t>姫路市</t>
  </si>
  <si>
    <t>高砂市</t>
  </si>
  <si>
    <t>尼崎市</t>
  </si>
  <si>
    <t>佐用郡佐用町</t>
  </si>
  <si>
    <t>明石市</t>
  </si>
  <si>
    <t>佐用郡三日月町</t>
  </si>
  <si>
    <t>西宮市</t>
  </si>
  <si>
    <t>佐用郡上月町</t>
  </si>
  <si>
    <t>洲本市</t>
  </si>
  <si>
    <t>佐用郡南光町</t>
  </si>
  <si>
    <t>三原郡三原町</t>
  </si>
  <si>
    <t>三原郡西淡町</t>
  </si>
  <si>
    <t>相生市</t>
  </si>
  <si>
    <t>三原郡南淡町</t>
  </si>
  <si>
    <t>豊岡市</t>
  </si>
  <si>
    <t>三原郡緑町</t>
  </si>
  <si>
    <t>三田市</t>
  </si>
  <si>
    <t>竜野市</t>
  </si>
  <si>
    <t>三木市</t>
  </si>
  <si>
    <t>赤穂市</t>
  </si>
  <si>
    <t>宍粟郡安富町</t>
  </si>
  <si>
    <t>西脇市</t>
  </si>
  <si>
    <t>宍粟郡一宮町</t>
  </si>
  <si>
    <t>宝塚市</t>
  </si>
  <si>
    <t>宍粟郡山崎町</t>
  </si>
  <si>
    <t>宍粟郡千種町</t>
  </si>
  <si>
    <t>宍粟郡波賀町</t>
  </si>
  <si>
    <t>川西市</t>
  </si>
  <si>
    <t>篠山市</t>
  </si>
  <si>
    <t>小野市</t>
  </si>
  <si>
    <t>出石郡出石町</t>
  </si>
  <si>
    <t>出石郡但東町</t>
  </si>
  <si>
    <t>川辺郡猪名川町</t>
  </si>
  <si>
    <t>美囊郡吉川町</t>
  </si>
  <si>
    <t>城崎郡香住町</t>
  </si>
  <si>
    <t>城崎郡城崎町</t>
  </si>
  <si>
    <t>城崎郡竹野町</t>
  </si>
  <si>
    <t>城崎郡日高町</t>
  </si>
  <si>
    <t>多可郡中町</t>
  </si>
  <si>
    <t>飾磨郡家島町</t>
  </si>
  <si>
    <t>多可郡加美町</t>
  </si>
  <si>
    <t>飾磨郡夢前町</t>
  </si>
  <si>
    <t>多可郡八千代町</t>
  </si>
  <si>
    <t>多可郡黒田庄町</t>
  </si>
  <si>
    <t>神崎郡神崎町</t>
  </si>
  <si>
    <t>神崎郡市川町</t>
  </si>
  <si>
    <t>神崎郡福崎町</t>
  </si>
  <si>
    <t>神崎郡香寺町</t>
  </si>
  <si>
    <t>神崎郡大河内町</t>
  </si>
  <si>
    <t>揖保郡新宮町</t>
  </si>
  <si>
    <t>揖保郡揖保川町</t>
  </si>
  <si>
    <t>揖保郡御津町</t>
  </si>
  <si>
    <t>揖保郡太子町</t>
  </si>
  <si>
    <t>赤穂郡上郡町</t>
  </si>
  <si>
    <t>朝来郡山東町</t>
  </si>
  <si>
    <t>朝来郡生野町</t>
  </si>
  <si>
    <t>朝来郡朝来町</t>
  </si>
  <si>
    <t>朝来郡和田山町</t>
  </si>
  <si>
    <t>津名郡一宮町</t>
  </si>
  <si>
    <t>津名郡五色町</t>
  </si>
  <si>
    <t>美方郡村岡町</t>
  </si>
  <si>
    <t>津名郡淡路町</t>
  </si>
  <si>
    <t>美方郡浜坂町</t>
  </si>
  <si>
    <t>津名郡津名町</t>
  </si>
  <si>
    <t>美方郡美方町</t>
  </si>
  <si>
    <t>津名郡東浦町</t>
  </si>
  <si>
    <t>美方郡温泉町</t>
  </si>
  <si>
    <t>津名郡北淡町</t>
  </si>
  <si>
    <t>養父郡八鹿町</t>
  </si>
  <si>
    <t>養父郡養父町</t>
  </si>
  <si>
    <t>養父郡大屋町</t>
  </si>
  <si>
    <t>養父郡関宮町</t>
  </si>
  <si>
    <t>氷上郡山南町</t>
  </si>
  <si>
    <t>氷上郡柏原町</t>
  </si>
  <si>
    <t>氷上郡市島町</t>
  </si>
  <si>
    <t>氷上郡氷上町</t>
  </si>
  <si>
    <t>氷上郡春日町</t>
  </si>
  <si>
    <t>氷上郡青垣町</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</si>
</sst>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yyyy&quot;年&quot;m&quot;月&quot;;@"/>
    <numFmt numFmtId="178" formatCode="[$-411]ggge&quot;年&quot;m&quot;月&quot;d&quot;日&quot;;@"/>
    <numFmt numFmtId="179" formatCode="[$-411]ggge&quot;年&quot;m&quot;月&quot;"/>
    <numFmt numFmtId="180" formatCode="0.0_ "/>
    <numFmt numFmtId="181" formatCode="0_ "/>
    <numFmt numFmtId="182" formatCode="[&lt;&gt;0]General"/>
    <numFmt numFmtId="183" formatCode="0&quot;台&quot;"/>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quot;ポイント&quot;"/>
    <numFmt numFmtId="190" formatCode="0.0&quot;ポイント&quot;"/>
    <numFmt numFmtId="191" formatCode="0.0_);[Red]\(0.0\)"/>
    <numFmt numFmtId="192" formatCode="[&lt;&gt;0]0.0;General"/>
    <numFmt numFmtId="193" formatCode="0&quot;人&quot;"/>
    <numFmt numFmtId="194" formatCode="General&quot;百万円&quot;"/>
    <numFmt numFmtId="195" formatCode="0.000"/>
    <numFmt numFmtId="196" formatCode="[&lt;&gt;0]General&quot;km&quot;;General"/>
    <numFmt numFmtId="197" formatCode="0&quot;換算km&quot;"/>
    <numFmt numFmtId="198" formatCode="0&quot;km&quot;"/>
    <numFmt numFmtId="199" formatCode="0&quot;kg&quot;"/>
    <numFmt numFmtId="200" formatCode="0&quot;台km&quot;"/>
    <numFmt numFmtId="201" formatCode="#,##0_ "/>
    <numFmt numFmtId="202" formatCode="#,##0&quot;換算km&quot;"/>
    <numFmt numFmtId="203" formatCode="#,##0&quot;km&quot;"/>
    <numFmt numFmtId="204" formatCode="#,##0&quot;kg&quot;"/>
    <numFmt numFmtId="205" formatCode="#,##0_);[Red]\(#,##0\)"/>
    <numFmt numFmtId="206" formatCode="[&lt;&gt;0]#,##0_);[Red]\(#,##0\)"/>
    <numFmt numFmtId="207" formatCode="[&lt;&gt;0]#,##0_);General"/>
    <numFmt numFmtId="208" formatCode="[&lt;&gt;0]#,##0;General"/>
    <numFmt numFmtId="209" formatCode="0_);[Red]\(0\)"/>
    <numFmt numFmtId="210" formatCode="#,##0.0_ "/>
    <numFmt numFmtId="211" formatCode="&quot;１．特定事業者の概要&quot;General"/>
    <numFmt numFmtId="212" formatCode="&quot;１．特定事業者の概要（&quot;General&quot;）&quot;"/>
    <numFmt numFmtId="213" formatCode="&quot;１．特定事業者の概要（&quot;0&quot;）&quot;"/>
    <numFmt numFmtId="214" formatCode="0.0000_ "/>
  </numFmts>
  <fonts count="24">
    <font>
      <sz val="11"/>
      <name val="ＭＳ Ｐゴシック"/>
      <family val="0"/>
    </font>
    <font>
      <sz val="6"/>
      <name val="ＭＳ Ｐゴシック"/>
      <family val="3"/>
    </font>
    <font>
      <sz val="10"/>
      <name val="ＭＳ Ｐゴシック"/>
      <family val="3"/>
    </font>
    <font>
      <sz val="8"/>
      <name val="ＭＳ Ｐゴシック"/>
      <family val="3"/>
    </font>
    <font>
      <sz val="16"/>
      <name val="ＭＳ Ｐゴシック"/>
      <family val="3"/>
    </font>
    <font>
      <sz val="14"/>
      <name val="ＭＳ Ｐゴシック"/>
      <family val="3"/>
    </font>
    <font>
      <sz val="2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0"/>
      <name val="ＭＳ Ｐ明朝"/>
      <family val="1"/>
    </font>
    <font>
      <sz val="7"/>
      <name val="ＭＳ Ｐゴシック"/>
      <family val="3"/>
    </font>
    <font>
      <b/>
      <sz val="11"/>
      <name val="ＭＳ Ｐゴシック"/>
      <family val="0"/>
    </font>
    <font>
      <b/>
      <sz val="10"/>
      <name val="ＭＳ Ｐ明朝"/>
      <family val="1"/>
    </font>
    <font>
      <sz val="8"/>
      <color indexed="10"/>
      <name val="ＭＳ Ｐゴシック"/>
      <family val="3"/>
    </font>
    <font>
      <b/>
      <sz val="11"/>
      <color indexed="10"/>
      <name val="ＭＳ Ｐゴシック"/>
      <family val="3"/>
    </font>
    <font>
      <sz val="11"/>
      <color indexed="10"/>
      <name val="ＭＳ Ｐゴシック"/>
      <family val="3"/>
    </font>
    <font>
      <b/>
      <sz val="12"/>
      <color indexed="10"/>
      <name val="ＭＳ Ｐゴシック"/>
      <family val="3"/>
    </font>
    <font>
      <sz val="10.5"/>
      <name val="ＭＳ ゴシック"/>
      <family val="3"/>
    </font>
    <font>
      <sz val="14"/>
      <name val="ＭＳ ゴシック"/>
      <family val="3"/>
    </font>
    <font>
      <sz val="20"/>
      <name val="ＭＳ ゴシック"/>
      <family val="3"/>
    </font>
    <font>
      <sz val="14"/>
      <color indexed="8"/>
      <name val="ＭＳ ゴシック"/>
      <family val="3"/>
    </font>
    <font>
      <sz val="10"/>
      <color indexed="10"/>
      <name val="ＭＳ Ｐゴシック"/>
      <family val="3"/>
    </font>
  </fonts>
  <fills count="6">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65"/>
        <bgColor indexed="64"/>
      </patternFill>
    </fill>
    <fill>
      <patternFill patternType="solid">
        <fgColor indexed="42"/>
        <bgColor indexed="64"/>
      </patternFill>
    </fill>
  </fills>
  <borders count="90">
    <border>
      <left/>
      <right/>
      <top/>
      <bottom/>
      <diagonal/>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color indexed="63"/>
      </right>
      <top style="medium"/>
      <bottom>
        <color indexed="63"/>
      </bottom>
    </border>
    <border>
      <left style="thin"/>
      <right>
        <color indexed="63"/>
      </right>
      <top style="medium"/>
      <bottom style="mediu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dotted"/>
      <right style="thin"/>
      <top style="dotted"/>
      <bottom style="thin"/>
    </border>
    <border>
      <left style="thin"/>
      <right style="dotted"/>
      <top style="dotted"/>
      <bottom style="thin"/>
    </border>
    <border>
      <left style="dotted"/>
      <right style="thin"/>
      <top style="thin"/>
      <bottom style="thin"/>
    </border>
    <border>
      <left style="thin"/>
      <right style="dotted"/>
      <top style="thin"/>
      <bottom style="thin"/>
    </border>
    <border>
      <left>
        <color indexed="63"/>
      </left>
      <right style="thin"/>
      <top style="medium"/>
      <bottom style="medium"/>
    </border>
    <border>
      <left style="medium"/>
      <right style="thin"/>
      <top>
        <color indexed="63"/>
      </top>
      <bottom>
        <color indexed="63"/>
      </bottom>
    </border>
    <border>
      <left style="thin"/>
      <right style="medium"/>
      <top>
        <color indexed="63"/>
      </top>
      <bottom>
        <color indexed="63"/>
      </bottom>
    </border>
    <border>
      <left>
        <color indexed="63"/>
      </left>
      <right style="thin"/>
      <top>
        <color indexed="63"/>
      </top>
      <bottom style="dashed"/>
    </border>
    <border>
      <left style="thin"/>
      <right style="thin"/>
      <top>
        <color indexed="63"/>
      </top>
      <bottom style="dashed"/>
    </border>
    <border>
      <left style="thin"/>
      <right style="medium"/>
      <top>
        <color indexed="63"/>
      </top>
      <bottom style="dashed"/>
    </border>
    <border>
      <left style="medium"/>
      <right style="thin"/>
      <top style="dashed"/>
      <bottom style="dashed"/>
    </border>
    <border>
      <left style="thin"/>
      <right style="thin"/>
      <top style="dashed"/>
      <bottom style="dashed"/>
    </border>
    <border>
      <left style="thin"/>
      <right style="medium"/>
      <top style="dashed"/>
      <bottom style="dashed"/>
    </border>
    <border>
      <left>
        <color indexed="63"/>
      </left>
      <right style="thin"/>
      <top style="dashed"/>
      <bottom style="dashed"/>
    </border>
    <border>
      <left style="medium"/>
      <right style="thin"/>
      <top style="dashed"/>
      <bottom>
        <color indexed="63"/>
      </bottom>
    </border>
    <border>
      <left style="thin"/>
      <right style="medium"/>
      <top style="dashed"/>
      <bottom>
        <color indexed="63"/>
      </bottom>
    </border>
    <border>
      <left style="thin"/>
      <right style="medium"/>
      <top>
        <color indexed="63"/>
      </top>
      <bottom style="thin"/>
    </border>
    <border>
      <left>
        <color indexed="63"/>
      </left>
      <right style="thin"/>
      <top style="dashed"/>
      <bottom style="thin"/>
    </border>
    <border>
      <left style="thin"/>
      <right style="thin"/>
      <top style="dashed"/>
      <bottom style="thin"/>
    </border>
    <border>
      <left style="medium"/>
      <right style="thin"/>
      <top>
        <color indexed="63"/>
      </top>
      <bottom style="dashed"/>
    </border>
    <border>
      <left style="thin"/>
      <right style="medium"/>
      <top style="thin"/>
      <bottom>
        <color indexed="63"/>
      </bottom>
    </border>
    <border>
      <left style="medium"/>
      <right style="thin"/>
      <top style="thin"/>
      <bottom style="dashed"/>
    </border>
    <border>
      <left>
        <color indexed="63"/>
      </left>
      <right style="thin"/>
      <top style="dashed"/>
      <bottom>
        <color indexed="63"/>
      </bottom>
    </border>
    <border>
      <left style="thin"/>
      <right style="thin"/>
      <top style="dashed"/>
      <bottom>
        <color indexed="63"/>
      </bottom>
    </border>
    <border>
      <left style="thin"/>
      <right style="thin"/>
      <top style="thin"/>
      <bottom style="dashed"/>
    </border>
    <border>
      <left style="thin"/>
      <right style="medium"/>
      <top style="thin"/>
      <bottom style="dashed"/>
    </border>
    <border>
      <left style="medium"/>
      <right style="thin"/>
      <top>
        <color indexed="63"/>
      </top>
      <bottom style="medium"/>
    </border>
    <border>
      <left style="thin"/>
      <right style="medium"/>
      <top>
        <color indexed="63"/>
      </top>
      <bottom style="medium"/>
    </border>
    <border>
      <left>
        <color indexed="63"/>
      </left>
      <right style="thin"/>
      <top style="dashed"/>
      <bottom style="medium"/>
    </border>
    <border>
      <left style="thin"/>
      <right style="thin"/>
      <top style="dashed"/>
      <bottom style="medium"/>
    </border>
    <border>
      <left style="thin"/>
      <right style="thin"/>
      <top>
        <color indexed="63"/>
      </top>
      <bottom style="medium"/>
    </border>
    <border>
      <left style="thin"/>
      <right style="medium"/>
      <top style="dashed"/>
      <bottom style="medium"/>
    </border>
    <border>
      <left>
        <color indexed="63"/>
      </left>
      <right style="medium"/>
      <top style="medium"/>
      <bottom>
        <color indexed="63"/>
      </bottom>
    </border>
    <border>
      <left>
        <color indexed="63"/>
      </left>
      <right style="thin"/>
      <top style="thin"/>
      <bottom style="dashed"/>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color indexed="63"/>
      </left>
      <right>
        <color indexed="63"/>
      </right>
      <top>
        <color indexed="63"/>
      </top>
      <bottom style="thin"/>
    </border>
    <border diagonalUp="1">
      <left style="thin"/>
      <right style="thin"/>
      <top style="thin"/>
      <bottom style="thin"/>
      <diagonal style="thin"/>
    </border>
    <border diagonalDown="1">
      <left style="thin"/>
      <right style="thin"/>
      <top style="thin"/>
      <bottom style="thin"/>
      <diagonal style="thin"/>
    </border>
    <border>
      <left style="thin"/>
      <right>
        <color indexed="63"/>
      </right>
      <top style="thin"/>
      <bottom style="medium"/>
    </border>
    <border>
      <left>
        <color indexed="63"/>
      </left>
      <right style="thin"/>
      <top style="thin"/>
      <bottom style="medium"/>
    </border>
    <border>
      <left style="thin"/>
      <right style="dotted"/>
      <top style="thin"/>
      <bottom style="dotted"/>
    </border>
    <border>
      <left style="dotted"/>
      <right style="thin"/>
      <top style="thin"/>
      <bottom style="dotted"/>
    </border>
    <border>
      <left style="medium"/>
      <right>
        <color indexed="63"/>
      </right>
      <top style="medium"/>
      <bottom>
        <color indexed="63"/>
      </bottom>
    </border>
    <border>
      <left>
        <color indexed="63"/>
      </left>
      <right>
        <color indexed="63"/>
      </right>
      <top>
        <color indexed="63"/>
      </top>
      <bottom style="medium"/>
    </border>
    <border>
      <left style="thin"/>
      <right>
        <color indexed="63"/>
      </right>
      <top style="medium"/>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0" borderId="0">
      <alignment/>
      <protection/>
    </xf>
    <xf numFmtId="0" fontId="0" fillId="0" borderId="0">
      <alignment vertical="center"/>
      <protection/>
    </xf>
    <xf numFmtId="0" fontId="0" fillId="0" borderId="0">
      <alignment/>
      <protection/>
    </xf>
    <xf numFmtId="0" fontId="9" fillId="0" borderId="0" applyNumberFormat="0" applyFill="0" applyBorder="0" applyAlignment="0" applyProtection="0"/>
  </cellStyleXfs>
  <cellXfs count="509">
    <xf numFmtId="0" fontId="0" fillId="0" borderId="0" xfId="0" applyAlignment="1">
      <alignment/>
    </xf>
    <xf numFmtId="0" fontId="2" fillId="0" borderId="0" xfId="0" applyFont="1" applyAlignment="1">
      <alignment/>
    </xf>
    <xf numFmtId="0" fontId="0" fillId="0" borderId="1" xfId="0" applyBorder="1" applyAlignment="1">
      <alignment/>
    </xf>
    <xf numFmtId="0" fontId="5" fillId="0" borderId="0" xfId="0" applyFont="1" applyAlignment="1">
      <alignment/>
    </xf>
    <xf numFmtId="0" fontId="0" fillId="0" borderId="1" xfId="0" applyBorder="1" applyAlignment="1">
      <alignment horizontal="center"/>
    </xf>
    <xf numFmtId="0" fontId="2" fillId="0" borderId="1" xfId="0" applyFont="1" applyBorder="1" applyAlignment="1">
      <alignment/>
    </xf>
    <xf numFmtId="0" fontId="0" fillId="0" borderId="2" xfId="23" applyFont="1" applyBorder="1" applyAlignment="1" applyProtection="1">
      <alignment horizontal="center" vertical="center"/>
      <protection/>
    </xf>
    <xf numFmtId="0" fontId="0" fillId="0" borderId="3" xfId="23" applyFont="1" applyBorder="1" applyAlignment="1" applyProtection="1">
      <alignment horizontal="center" vertical="center"/>
      <protection/>
    </xf>
    <xf numFmtId="0" fontId="0" fillId="0" borderId="4" xfId="23" applyFont="1" applyBorder="1" applyAlignment="1" applyProtection="1">
      <alignment vertical="center"/>
      <protection/>
    </xf>
    <xf numFmtId="0" fontId="0" fillId="0" borderId="0" xfId="23" applyFont="1" applyBorder="1" applyAlignment="1" applyProtection="1">
      <alignment vertical="center"/>
      <protection/>
    </xf>
    <xf numFmtId="0" fontId="0" fillId="0" borderId="0" xfId="0" applyFont="1" applyBorder="1" applyAlignment="1" applyProtection="1">
      <alignment horizontal="center" vertical="center"/>
      <protection/>
    </xf>
    <xf numFmtId="0" fontId="0" fillId="0" borderId="0" xfId="0" applyFont="1" applyAlignment="1" applyProtection="1">
      <alignment vertical="top"/>
      <protection/>
    </xf>
    <xf numFmtId="0" fontId="0" fillId="0" borderId="0" xfId="0" applyFont="1" applyAlignment="1" applyProtection="1">
      <alignment vertical="top"/>
      <protection/>
    </xf>
    <xf numFmtId="0" fontId="0" fillId="0" borderId="5" xfId="0" applyFont="1" applyBorder="1" applyAlignment="1" applyProtection="1">
      <alignment vertical="top"/>
      <protection/>
    </xf>
    <xf numFmtId="0" fontId="0" fillId="0" borderId="0" xfId="0" applyFont="1" applyBorder="1" applyAlignment="1" applyProtection="1">
      <alignment vertical="top"/>
      <protection/>
    </xf>
    <xf numFmtId="0" fontId="13" fillId="0" borderId="0" xfId="0" applyFont="1" applyBorder="1" applyAlignment="1" applyProtection="1">
      <alignment horizontal="center" vertical="top"/>
      <protection/>
    </xf>
    <xf numFmtId="0" fontId="0" fillId="0" borderId="0" xfId="0" applyFont="1" applyBorder="1" applyAlignment="1" applyProtection="1">
      <alignment horizontal="center" vertical="top"/>
      <protection/>
    </xf>
    <xf numFmtId="190" fontId="13" fillId="0" borderId="0" xfId="0" applyNumberFormat="1" applyFont="1" applyBorder="1" applyAlignment="1" applyProtection="1">
      <alignment horizontal="center" vertical="top"/>
      <protection/>
    </xf>
    <xf numFmtId="0" fontId="0" fillId="0" borderId="5" xfId="0" applyFont="1" applyFill="1" applyBorder="1" applyAlignment="1" applyProtection="1">
      <alignment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horizontal="center" vertical="top"/>
      <protection/>
    </xf>
    <xf numFmtId="190" fontId="13" fillId="0" borderId="0" xfId="0" applyNumberFormat="1" applyFont="1" applyFill="1" applyBorder="1" applyAlignment="1" applyProtection="1">
      <alignment horizontal="center" vertical="top"/>
      <protection/>
    </xf>
    <xf numFmtId="0" fontId="0" fillId="0" borderId="0" xfId="0" applyFont="1" applyAlignment="1" applyProtection="1">
      <alignment vertical="top" wrapText="1"/>
      <protection/>
    </xf>
    <xf numFmtId="0" fontId="7" fillId="0" borderId="0" xfId="23" applyFont="1" applyProtection="1">
      <alignment/>
      <protection/>
    </xf>
    <xf numFmtId="0" fontId="2" fillId="0" borderId="0" xfId="23" applyFont="1" applyProtection="1">
      <alignment/>
      <protection/>
    </xf>
    <xf numFmtId="49" fontId="0" fillId="0" borderId="0" xfId="23" applyNumberFormat="1" applyFont="1" applyAlignment="1" applyProtection="1">
      <alignment horizontal="right"/>
      <protection/>
    </xf>
    <xf numFmtId="0" fontId="0" fillId="0" borderId="0" xfId="23" applyFont="1" applyProtection="1">
      <alignment/>
      <protection/>
    </xf>
    <xf numFmtId="49" fontId="0" fillId="0" borderId="0" xfId="23" applyNumberFormat="1" applyFont="1" applyProtection="1">
      <alignment/>
      <protection/>
    </xf>
    <xf numFmtId="0" fontId="0" fillId="0" borderId="0" xfId="23" applyFont="1" applyProtection="1">
      <alignment/>
      <protection/>
    </xf>
    <xf numFmtId="49" fontId="0" fillId="0" borderId="0" xfId="23" applyNumberFormat="1" applyFont="1" applyProtection="1">
      <alignment/>
      <protection/>
    </xf>
    <xf numFmtId="0" fontId="0" fillId="0" borderId="6" xfId="23" applyFont="1" applyBorder="1" applyAlignment="1" applyProtection="1">
      <alignment vertical="center"/>
      <protection/>
    </xf>
    <xf numFmtId="0" fontId="0" fillId="0" borderId="5" xfId="23" applyFont="1" applyBorder="1" applyAlignment="1" applyProtection="1">
      <alignment horizontal="center" vertical="center"/>
      <protection/>
    </xf>
    <xf numFmtId="182" fontId="0" fillId="0" borderId="1" xfId="23" applyNumberFormat="1" applyFont="1" applyBorder="1" applyAlignment="1" applyProtection="1">
      <alignment horizontal="center" vertical="center"/>
      <protection/>
    </xf>
    <xf numFmtId="0" fontId="0" fillId="0" borderId="0" xfId="23" applyFont="1" applyBorder="1" applyAlignment="1" applyProtection="1">
      <alignment horizontal="center" vertical="center"/>
      <protection/>
    </xf>
    <xf numFmtId="0" fontId="0" fillId="0" borderId="5" xfId="23" applyFont="1" applyBorder="1" applyAlignment="1" applyProtection="1">
      <alignment horizontal="center" vertical="center" wrapText="1"/>
      <protection/>
    </xf>
    <xf numFmtId="0" fontId="0" fillId="0" borderId="6" xfId="23" applyFont="1" applyBorder="1" applyAlignment="1" applyProtection="1">
      <alignment horizontal="center" vertical="center"/>
      <protection/>
    </xf>
    <xf numFmtId="0" fontId="0" fillId="0" borderId="0" xfId="23" applyFont="1" applyBorder="1" applyAlignment="1" applyProtection="1">
      <alignment horizontal="center"/>
      <protection/>
    </xf>
    <xf numFmtId="0" fontId="0" fillId="0" borderId="0" xfId="23" applyFont="1" applyAlignment="1" applyProtection="1">
      <alignment/>
      <protection/>
    </xf>
    <xf numFmtId="188" fontId="0" fillId="0" borderId="0" xfId="23" applyNumberFormat="1" applyFont="1" applyBorder="1" applyProtection="1">
      <alignment/>
      <protection/>
    </xf>
    <xf numFmtId="0" fontId="0" fillId="0" borderId="0" xfId="23" applyFont="1" applyBorder="1" applyAlignment="1" applyProtection="1">
      <alignment/>
      <protection/>
    </xf>
    <xf numFmtId="0" fontId="0" fillId="0" borderId="0" xfId="23" applyFont="1" applyBorder="1" applyAlignment="1" applyProtection="1">
      <alignment vertical="top"/>
      <protection/>
    </xf>
    <xf numFmtId="0" fontId="0" fillId="0" borderId="0" xfId="0" applyFont="1" applyAlignment="1" applyProtection="1">
      <alignment vertical="top"/>
      <protection/>
    </xf>
    <xf numFmtId="0" fontId="0" fillId="0" borderId="0" xfId="23" applyFont="1" applyProtection="1">
      <alignment/>
      <protection/>
    </xf>
    <xf numFmtId="49" fontId="0" fillId="0" borderId="0" xfId="23" applyNumberFormat="1" applyFont="1" applyProtection="1">
      <alignment/>
      <protection/>
    </xf>
    <xf numFmtId="0" fontId="0" fillId="0" borderId="0" xfId="23" applyFont="1" applyBorder="1" applyAlignment="1" applyProtection="1">
      <alignment vertical="top" wrapText="1"/>
      <protection/>
    </xf>
    <xf numFmtId="0" fontId="0" fillId="0" borderId="0" xfId="0" applyFont="1" applyAlignment="1" applyProtection="1">
      <alignment vertical="top" wrapText="1"/>
      <protection/>
    </xf>
    <xf numFmtId="49" fontId="2" fillId="0" borderId="0" xfId="23" applyNumberFormat="1" applyFont="1" applyProtection="1">
      <alignment/>
      <protection/>
    </xf>
    <xf numFmtId="0" fontId="0" fillId="0" borderId="2" xfId="23" applyFont="1" applyBorder="1" applyAlignment="1" applyProtection="1">
      <alignment horizontal="center" vertical="center" wrapText="1"/>
      <protection/>
    </xf>
    <xf numFmtId="0" fontId="0" fillId="0" borderId="7" xfId="23" applyFont="1" applyBorder="1" applyAlignment="1" applyProtection="1">
      <alignment vertical="center"/>
      <protection/>
    </xf>
    <xf numFmtId="182" fontId="0" fillId="0" borderId="8" xfId="23" applyNumberFormat="1" applyFont="1" applyBorder="1" applyAlignment="1" applyProtection="1">
      <alignment horizontal="center"/>
      <protection/>
    </xf>
    <xf numFmtId="182" fontId="0" fillId="0" borderId="9" xfId="23" applyNumberFormat="1" applyFont="1" applyBorder="1" applyAlignment="1" applyProtection="1">
      <alignment horizontal="center"/>
      <protection/>
    </xf>
    <xf numFmtId="182" fontId="0" fillId="0" borderId="9" xfId="23" applyNumberFormat="1" applyFont="1" applyBorder="1" applyProtection="1">
      <alignment/>
      <protection/>
    </xf>
    <xf numFmtId="182" fontId="0" fillId="0" borderId="10" xfId="23" applyNumberFormat="1" applyFont="1" applyBorder="1" applyProtection="1">
      <alignment/>
      <protection/>
    </xf>
    <xf numFmtId="182" fontId="0" fillId="0" borderId="11" xfId="23" applyNumberFormat="1" applyFont="1" applyBorder="1" applyAlignment="1" applyProtection="1">
      <alignment horizontal="center"/>
      <protection/>
    </xf>
    <xf numFmtId="182" fontId="0" fillId="0" borderId="0" xfId="23" applyNumberFormat="1" applyFont="1" applyProtection="1">
      <alignment/>
      <protection/>
    </xf>
    <xf numFmtId="0" fontId="0" fillId="0" borderId="12" xfId="23" applyFont="1" applyBorder="1" applyAlignment="1" applyProtection="1">
      <alignment vertical="center" wrapText="1"/>
      <protection/>
    </xf>
    <xf numFmtId="182" fontId="0" fillId="0" borderId="13" xfId="23" applyNumberFormat="1" applyFont="1" applyBorder="1" applyAlignment="1" applyProtection="1">
      <alignment horizontal="center"/>
      <protection/>
    </xf>
    <xf numFmtId="182" fontId="0" fillId="0" borderId="1" xfId="23" applyNumberFormat="1" applyFont="1" applyBorder="1" applyAlignment="1" applyProtection="1">
      <alignment horizontal="center"/>
      <protection/>
    </xf>
    <xf numFmtId="182" fontId="0" fillId="0" borderId="1" xfId="23" applyNumberFormat="1" applyFont="1" applyBorder="1" applyProtection="1">
      <alignment/>
      <protection/>
    </xf>
    <xf numFmtId="182" fontId="0" fillId="0" borderId="14" xfId="23" applyNumberFormat="1" applyFont="1" applyBorder="1" applyProtection="1">
      <alignment/>
      <protection/>
    </xf>
    <xf numFmtId="182" fontId="0" fillId="0" borderId="15" xfId="23" applyNumberFormat="1" applyFont="1" applyBorder="1" applyAlignment="1" applyProtection="1">
      <alignment horizontal="center"/>
      <protection/>
    </xf>
    <xf numFmtId="0" fontId="0" fillId="0" borderId="16" xfId="23" applyFont="1" applyBorder="1" applyAlignment="1" applyProtection="1">
      <alignment vertical="center"/>
      <protection/>
    </xf>
    <xf numFmtId="182" fontId="0" fillId="0" borderId="17" xfId="23" applyNumberFormat="1" applyFont="1" applyBorder="1" applyAlignment="1" applyProtection="1">
      <alignment horizontal="center"/>
      <protection/>
    </xf>
    <xf numFmtId="182" fontId="0" fillId="0" borderId="18" xfId="23" applyNumberFormat="1" applyFont="1" applyBorder="1" applyAlignment="1" applyProtection="1">
      <alignment horizontal="center"/>
      <protection/>
    </xf>
    <xf numFmtId="182" fontId="0" fillId="0" borderId="18" xfId="23" applyNumberFormat="1" applyFont="1" applyBorder="1" applyProtection="1">
      <alignment/>
      <protection/>
    </xf>
    <xf numFmtId="182" fontId="0" fillId="0" borderId="19" xfId="23" applyNumberFormat="1" applyFont="1" applyBorder="1" applyProtection="1">
      <alignment/>
      <protection/>
    </xf>
    <xf numFmtId="182" fontId="0" fillId="0" borderId="20" xfId="23" applyNumberFormat="1" applyFont="1" applyBorder="1" applyAlignment="1" applyProtection="1">
      <alignment horizontal="center"/>
      <protection/>
    </xf>
    <xf numFmtId="0" fontId="0" fillId="0" borderId="21" xfId="23" applyFont="1" applyBorder="1" applyAlignment="1" applyProtection="1">
      <alignment horizontal="center" vertical="center"/>
      <protection/>
    </xf>
    <xf numFmtId="180" fontId="0" fillId="0" borderId="22" xfId="23" applyNumberFormat="1" applyFont="1" applyBorder="1" applyAlignment="1" applyProtection="1">
      <alignment vertical="center"/>
      <protection/>
    </xf>
    <xf numFmtId="49" fontId="0" fillId="0" borderId="0" xfId="23" applyNumberFormat="1" applyFont="1" applyAlignment="1" applyProtection="1">
      <alignment horizontal="right"/>
      <protection/>
    </xf>
    <xf numFmtId="0" fontId="0" fillId="0" borderId="0" xfId="23" applyFont="1" applyAlignment="1" applyProtection="1">
      <alignment/>
      <protection/>
    </xf>
    <xf numFmtId="0" fontId="0" fillId="0" borderId="1" xfId="23" applyFont="1" applyBorder="1" applyAlignment="1" applyProtection="1">
      <alignment/>
      <protection/>
    </xf>
    <xf numFmtId="0" fontId="2" fillId="0" borderId="1" xfId="23" applyFont="1" applyBorder="1" applyAlignment="1" applyProtection="1">
      <alignment horizontal="center"/>
      <protection/>
    </xf>
    <xf numFmtId="0" fontId="0" fillId="0" borderId="0" xfId="23" applyFont="1" applyBorder="1" applyAlignment="1" applyProtection="1">
      <alignment horizontal="center"/>
      <protection/>
    </xf>
    <xf numFmtId="0" fontId="0" fillId="0" borderId="6" xfId="23" applyFont="1" applyBorder="1" applyAlignment="1" applyProtection="1">
      <alignment horizontal="right"/>
      <protection/>
    </xf>
    <xf numFmtId="0" fontId="0" fillId="0" borderId="5" xfId="23" applyFont="1" applyBorder="1" applyProtection="1">
      <alignment/>
      <protection/>
    </xf>
    <xf numFmtId="0" fontId="2" fillId="0" borderId="1" xfId="23" applyFont="1" applyBorder="1" applyProtection="1">
      <alignment/>
      <protection/>
    </xf>
    <xf numFmtId="0" fontId="0" fillId="0" borderId="0" xfId="23" applyFont="1" applyBorder="1" applyAlignment="1" applyProtection="1">
      <alignment vertical="top" wrapText="1"/>
      <protection/>
    </xf>
    <xf numFmtId="0" fontId="0" fillId="0" borderId="6" xfId="23" applyFont="1" applyBorder="1" applyProtection="1">
      <alignment/>
      <protection/>
    </xf>
    <xf numFmtId="0" fontId="0" fillId="0" borderId="1" xfId="23" applyFont="1" applyBorder="1" applyAlignment="1" applyProtection="1">
      <alignment horizontal="center"/>
      <protection/>
    </xf>
    <xf numFmtId="49" fontId="0" fillId="0" borderId="0" xfId="23" applyNumberFormat="1" applyFont="1" applyAlignment="1" applyProtection="1">
      <alignment/>
      <protection/>
    </xf>
    <xf numFmtId="0" fontId="0" fillId="0" borderId="23" xfId="23" applyFont="1" applyBorder="1" applyAlignment="1" applyProtection="1">
      <alignment/>
      <protection/>
    </xf>
    <xf numFmtId="0" fontId="0" fillId="0" borderId="24" xfId="23" applyFont="1" applyBorder="1" applyAlignment="1" applyProtection="1">
      <alignment/>
      <protection/>
    </xf>
    <xf numFmtId="0" fontId="0" fillId="0" borderId="25" xfId="23" applyFont="1" applyBorder="1" applyAlignment="1" applyProtection="1">
      <alignment horizontal="center"/>
      <protection/>
    </xf>
    <xf numFmtId="0" fontId="0" fillId="0" borderId="25" xfId="23" applyFont="1" applyBorder="1" applyProtection="1">
      <alignment/>
      <protection/>
    </xf>
    <xf numFmtId="49" fontId="0" fillId="0" borderId="0" xfId="23" applyNumberFormat="1" applyFont="1" applyBorder="1" applyAlignment="1" applyProtection="1">
      <alignment vertical="top"/>
      <protection/>
    </xf>
    <xf numFmtId="0" fontId="0" fillId="0" borderId="0" xfId="23" applyFont="1" applyBorder="1" applyAlignment="1" applyProtection="1">
      <alignment vertical="top"/>
      <protection/>
    </xf>
    <xf numFmtId="0" fontId="0" fillId="0" borderId="26" xfId="23" applyFont="1" applyBorder="1" applyAlignment="1" applyProtection="1">
      <alignment/>
      <protection/>
    </xf>
    <xf numFmtId="0" fontId="0" fillId="0" borderId="27" xfId="23" applyFont="1" applyBorder="1" applyAlignment="1" applyProtection="1">
      <alignment/>
      <protection/>
    </xf>
    <xf numFmtId="0" fontId="0" fillId="0" borderId="28" xfId="23" applyFont="1" applyBorder="1" applyAlignment="1" applyProtection="1">
      <alignment horizontal="center" vertical="center"/>
      <protection/>
    </xf>
    <xf numFmtId="0" fontId="0" fillId="0" borderId="1" xfId="23" applyFont="1" applyBorder="1" applyProtection="1">
      <alignment/>
      <protection/>
    </xf>
    <xf numFmtId="49" fontId="0" fillId="0" borderId="0" xfId="23" applyNumberFormat="1" applyFont="1" applyBorder="1" applyAlignment="1" applyProtection="1">
      <alignment/>
      <protection/>
    </xf>
    <xf numFmtId="0" fontId="0" fillId="0" borderId="29" xfId="23" applyFont="1" applyBorder="1" applyAlignment="1" applyProtection="1">
      <alignment/>
      <protection/>
    </xf>
    <xf numFmtId="0" fontId="0" fillId="0" borderId="30" xfId="23" applyFont="1" applyBorder="1" applyAlignment="1" applyProtection="1">
      <alignment/>
      <protection/>
    </xf>
    <xf numFmtId="0" fontId="0" fillId="0" borderId="31" xfId="23" applyFont="1" applyBorder="1" applyAlignment="1" applyProtection="1">
      <alignment horizontal="center" vertical="center"/>
      <protection/>
    </xf>
    <xf numFmtId="0" fontId="0" fillId="0" borderId="32" xfId="23" applyFont="1" applyBorder="1" applyProtection="1">
      <alignment/>
      <protection/>
    </xf>
    <xf numFmtId="0" fontId="0" fillId="0" borderId="32" xfId="23" applyFont="1" applyBorder="1" applyAlignment="1" applyProtection="1">
      <alignment horizontal="center"/>
      <protection/>
    </xf>
    <xf numFmtId="0" fontId="0" fillId="0" borderId="0" xfId="23" applyFont="1" applyBorder="1" applyAlignment="1" applyProtection="1">
      <alignment horizontal="right"/>
      <protection/>
    </xf>
    <xf numFmtId="0" fontId="0" fillId="0" borderId="0" xfId="23" applyFont="1" applyBorder="1" applyProtection="1">
      <alignment/>
      <protection/>
    </xf>
    <xf numFmtId="0" fontId="0" fillId="0" borderId="0" xfId="23" applyFont="1" applyAlignment="1" applyProtection="1">
      <alignment/>
      <protection/>
    </xf>
    <xf numFmtId="0" fontId="3" fillId="0" borderId="1" xfId="23" applyFont="1" applyBorder="1" applyAlignment="1" applyProtection="1">
      <alignment horizontal="center" vertical="center" wrapText="1"/>
      <protection/>
    </xf>
    <xf numFmtId="0" fontId="2" fillId="0" borderId="5" xfId="0" applyFont="1" applyBorder="1" applyAlignment="1" applyProtection="1">
      <alignment vertical="top"/>
      <protection/>
    </xf>
    <xf numFmtId="0" fontId="0" fillId="0" borderId="33"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Fill="1" applyBorder="1" applyAlignment="1" applyProtection="1">
      <alignment vertical="top"/>
      <protection/>
    </xf>
    <xf numFmtId="0" fontId="0" fillId="0" borderId="33" xfId="0" applyFont="1" applyFill="1" applyBorder="1" applyAlignment="1" applyProtection="1">
      <alignment vertical="top"/>
      <protection/>
    </xf>
    <xf numFmtId="0" fontId="15" fillId="0" borderId="5" xfId="23" applyFont="1" applyBorder="1" applyAlignment="1" applyProtection="1">
      <alignment horizontal="center" vertical="center" wrapText="1"/>
      <protection/>
    </xf>
    <xf numFmtId="0" fontId="15" fillId="0" borderId="1" xfId="23" applyFont="1" applyBorder="1" applyAlignment="1" applyProtection="1">
      <alignment horizontal="center" vertical="center" wrapText="1"/>
      <protection/>
    </xf>
    <xf numFmtId="0" fontId="3" fillId="0" borderId="34" xfId="23" applyFont="1" applyBorder="1" applyAlignment="1" applyProtection="1">
      <alignment vertical="top" wrapText="1"/>
      <protection/>
    </xf>
    <xf numFmtId="0" fontId="3" fillId="0" borderId="35" xfId="23" applyFont="1" applyBorder="1" applyAlignment="1" applyProtection="1">
      <alignment vertical="top" wrapText="1"/>
      <protection/>
    </xf>
    <xf numFmtId="0" fontId="3" fillId="0" borderId="35" xfId="23" applyFont="1" applyBorder="1" applyAlignment="1" applyProtection="1">
      <alignment vertical="center"/>
      <protection/>
    </xf>
    <xf numFmtId="0" fontId="3" fillId="0" borderId="36" xfId="23" applyFont="1" applyBorder="1" applyAlignment="1" applyProtection="1">
      <alignment vertical="top" wrapText="1"/>
      <protection/>
    </xf>
    <xf numFmtId="0" fontId="0" fillId="0" borderId="0" xfId="0" applyAlignment="1" applyProtection="1">
      <alignment/>
      <protection/>
    </xf>
    <xf numFmtId="182" fontId="0" fillId="0" borderId="1" xfId="23" applyNumberFormat="1" applyFont="1" applyBorder="1" applyAlignment="1" applyProtection="1">
      <alignment horizontal="right" vertical="center"/>
      <protection/>
    </xf>
    <xf numFmtId="0" fontId="0" fillId="0" borderId="0" xfId="0" applyAlignment="1" applyProtection="1">
      <alignment horizontal="center"/>
      <protection/>
    </xf>
    <xf numFmtId="0" fontId="3" fillId="0" borderId="29" xfId="0" applyFont="1" applyFill="1" applyBorder="1" applyAlignment="1" applyProtection="1">
      <alignment horizontal="center" vertical="center" wrapText="1"/>
      <protection/>
    </xf>
    <xf numFmtId="0" fontId="3" fillId="0" borderId="37" xfId="0" applyFont="1" applyFill="1" applyBorder="1" applyAlignment="1" applyProtection="1">
      <alignment horizontal="center" vertical="center" wrapText="1"/>
      <protection/>
    </xf>
    <xf numFmtId="0" fontId="3" fillId="0" borderId="38" xfId="0" applyFont="1" applyFill="1" applyBorder="1" applyAlignment="1" applyProtection="1">
      <alignment horizontal="right" vertical="center" wrapText="1"/>
      <protection/>
    </xf>
    <xf numFmtId="0" fontId="3" fillId="0" borderId="37" xfId="0" applyFont="1" applyFill="1" applyBorder="1" applyAlignment="1" applyProtection="1">
      <alignment horizontal="left" vertical="center" wrapText="1"/>
      <protection/>
    </xf>
    <xf numFmtId="0" fontId="3" fillId="0" borderId="1" xfId="0" applyFont="1" applyBorder="1" applyAlignment="1" applyProtection="1">
      <alignment horizontal="center" vertical="center"/>
      <protection/>
    </xf>
    <xf numFmtId="0" fontId="2" fillId="0" borderId="1" xfId="0" applyFont="1" applyBorder="1" applyAlignment="1" applyProtection="1">
      <alignment/>
      <protection/>
    </xf>
    <xf numFmtId="0" fontId="2" fillId="0" borderId="1" xfId="0" applyFont="1" applyFill="1" applyBorder="1" applyAlignment="1" applyProtection="1">
      <alignment/>
      <protection/>
    </xf>
    <xf numFmtId="0" fontId="2" fillId="0" borderId="1" xfId="0" applyFont="1" applyBorder="1" applyAlignment="1" applyProtection="1">
      <alignment horizontal="center"/>
      <protection/>
    </xf>
    <xf numFmtId="181" fontId="2" fillId="0" borderId="1" xfId="0" applyNumberFormat="1" applyFont="1" applyBorder="1" applyAlignment="1" applyProtection="1">
      <alignment horizontal="center"/>
      <protection/>
    </xf>
    <xf numFmtId="0" fontId="2" fillId="0" borderId="0" xfId="0" applyFont="1" applyAlignment="1" applyProtection="1">
      <alignment/>
      <protection/>
    </xf>
    <xf numFmtId="0" fontId="11" fillId="0" borderId="0" xfId="22" applyFont="1" applyBorder="1" applyAlignment="1" applyProtection="1">
      <alignment/>
      <protection/>
    </xf>
    <xf numFmtId="0" fontId="14" fillId="0" borderId="0" xfId="22" applyFont="1" applyBorder="1" applyAlignment="1" applyProtection="1">
      <alignment/>
      <protection/>
    </xf>
    <xf numFmtId="0" fontId="11" fillId="0" borderId="0" xfId="22" applyFont="1" applyBorder="1" applyAlignment="1" applyProtection="1">
      <alignment vertical="top"/>
      <protection/>
    </xf>
    <xf numFmtId="0" fontId="14" fillId="0" borderId="0" xfId="22" applyFont="1" applyBorder="1" applyAlignment="1" applyProtection="1">
      <alignment vertical="top"/>
      <protection/>
    </xf>
    <xf numFmtId="0" fontId="2" fillId="0" borderId="0" xfId="0" applyFont="1" applyAlignment="1" applyProtection="1">
      <alignment horizontal="right"/>
      <protection/>
    </xf>
    <xf numFmtId="0" fontId="16" fillId="0" borderId="0" xfId="0" applyFont="1" applyAlignment="1" applyProtection="1">
      <alignment horizontal="center"/>
      <protection hidden="1"/>
    </xf>
    <xf numFmtId="0" fontId="18" fillId="0" borderId="0" xfId="23" applyFont="1" applyProtection="1">
      <alignment/>
      <protection/>
    </xf>
    <xf numFmtId="0" fontId="13" fillId="0" borderId="0" xfId="0" applyFont="1" applyAlignment="1" applyProtection="1">
      <alignment/>
      <protection/>
    </xf>
    <xf numFmtId="0" fontId="2" fillId="0" borderId="5" xfId="0" applyFont="1" applyFill="1" applyBorder="1" applyAlignment="1" applyProtection="1">
      <alignment vertical="top"/>
      <protection/>
    </xf>
    <xf numFmtId="0" fontId="2" fillId="2" borderId="5" xfId="0" applyFont="1" applyFill="1" applyBorder="1" applyAlignment="1" applyProtection="1">
      <alignment vertical="top"/>
      <protection/>
    </xf>
    <xf numFmtId="190" fontId="13" fillId="0" borderId="0" xfId="0" applyNumberFormat="1" applyFont="1" applyBorder="1" applyAlignment="1" applyProtection="1">
      <alignment horizontal="left" vertical="top"/>
      <protection/>
    </xf>
    <xf numFmtId="0" fontId="10" fillId="0" borderId="6" xfId="0" applyFont="1" applyFill="1" applyBorder="1" applyAlignment="1" applyProtection="1">
      <alignment vertical="center"/>
      <protection/>
    </xf>
    <xf numFmtId="0" fontId="10" fillId="0" borderId="6" xfId="0" applyFont="1" applyBorder="1" applyAlignment="1" applyProtection="1">
      <alignment vertical="center"/>
      <protection/>
    </xf>
    <xf numFmtId="0" fontId="10" fillId="0" borderId="33" xfId="0" applyFont="1" applyBorder="1" applyAlignment="1" applyProtection="1">
      <alignment vertical="center"/>
      <protection/>
    </xf>
    <xf numFmtId="0" fontId="10" fillId="0" borderId="5" xfId="0" applyFont="1" applyBorder="1" applyAlignment="1" applyProtection="1">
      <alignment vertical="center"/>
      <protection/>
    </xf>
    <xf numFmtId="0" fontId="0" fillId="0" borderId="33" xfId="0" applyFont="1" applyBorder="1" applyAlignment="1" applyProtection="1">
      <alignment vertical="center"/>
      <protection/>
    </xf>
    <xf numFmtId="190" fontId="0" fillId="0" borderId="33" xfId="0" applyNumberFormat="1" applyFont="1" applyFill="1" applyBorder="1" applyAlignment="1" applyProtection="1">
      <alignment horizontal="center" vertical="top"/>
      <protection/>
    </xf>
    <xf numFmtId="190" fontId="0" fillId="0" borderId="5" xfId="0" applyNumberFormat="1" applyFont="1" applyFill="1" applyBorder="1" applyAlignment="1" applyProtection="1">
      <alignment horizontal="center" vertical="top"/>
      <protection/>
    </xf>
    <xf numFmtId="190" fontId="0" fillId="0" borderId="6" xfId="0" applyNumberFormat="1" applyFont="1" applyFill="1" applyBorder="1" applyAlignment="1" applyProtection="1">
      <alignment vertical="top"/>
      <protection/>
    </xf>
    <xf numFmtId="0" fontId="0" fillId="0" borderId="2" xfId="0" applyFont="1" applyBorder="1" applyAlignment="1" applyProtection="1">
      <alignment vertical="top"/>
      <protection/>
    </xf>
    <xf numFmtId="49" fontId="0" fillId="0" borderId="4" xfId="0" applyNumberFormat="1" applyFont="1" applyBorder="1" applyAlignment="1" applyProtection="1">
      <alignment horizontal="right" vertical="top"/>
      <protection/>
    </xf>
    <xf numFmtId="0" fontId="0" fillId="0" borderId="4" xfId="0" applyFont="1" applyBorder="1" applyAlignment="1" applyProtection="1">
      <alignment vertical="top" wrapText="1"/>
      <protection/>
    </xf>
    <xf numFmtId="0" fontId="0" fillId="0" borderId="2" xfId="0" applyNumberFormat="1" applyFont="1" applyBorder="1" applyAlignment="1" applyProtection="1">
      <alignment vertical="top"/>
      <protection/>
    </xf>
    <xf numFmtId="0" fontId="2" fillId="0" borderId="1" xfId="0" applyFont="1" applyBorder="1" applyAlignment="1">
      <alignment shrinkToFit="1"/>
    </xf>
    <xf numFmtId="0" fontId="2" fillId="0" borderId="6" xfId="0" applyFont="1" applyBorder="1" applyAlignment="1">
      <alignment shrinkToFit="1"/>
    </xf>
    <xf numFmtId="182" fontId="2" fillId="0" borderId="39" xfId="0" applyNumberFormat="1" applyFont="1" applyBorder="1" applyAlignment="1">
      <alignment shrinkToFit="1"/>
    </xf>
    <xf numFmtId="0" fontId="2" fillId="0" borderId="39" xfId="0" applyFont="1" applyBorder="1" applyAlignment="1">
      <alignment shrinkToFit="1"/>
    </xf>
    <xf numFmtId="182" fontId="2" fillId="0" borderId="1" xfId="0" applyNumberFormat="1" applyFont="1" applyBorder="1" applyAlignment="1">
      <alignment shrinkToFit="1"/>
    </xf>
    <xf numFmtId="201" fontId="2" fillId="0" borderId="1" xfId="0" applyNumberFormat="1" applyFont="1" applyBorder="1" applyAlignment="1">
      <alignment shrinkToFit="1"/>
    </xf>
    <xf numFmtId="180" fontId="2" fillId="0" borderId="1" xfId="0" applyNumberFormat="1" applyFont="1" applyBorder="1" applyAlignment="1">
      <alignment shrinkToFit="1"/>
    </xf>
    <xf numFmtId="0" fontId="2" fillId="3" borderId="1" xfId="0" applyFont="1" applyFill="1" applyBorder="1" applyAlignment="1" applyProtection="1">
      <alignment shrinkToFit="1"/>
      <protection locked="0"/>
    </xf>
    <xf numFmtId="0" fontId="2" fillId="3" borderId="40" xfId="0" applyFont="1" applyFill="1" applyBorder="1" applyAlignment="1" applyProtection="1">
      <alignment shrinkToFit="1"/>
      <protection locked="0"/>
    </xf>
    <xf numFmtId="0" fontId="2" fillId="3" borderId="39" xfId="0" applyFont="1" applyFill="1" applyBorder="1" applyAlignment="1" applyProtection="1">
      <alignment horizontal="center" shrinkToFit="1"/>
      <protection locked="0"/>
    </xf>
    <xf numFmtId="0" fontId="2" fillId="3" borderId="40" xfId="0" applyNumberFormat="1" applyFont="1" applyFill="1" applyBorder="1" applyAlignment="1" applyProtection="1">
      <alignment horizontal="right" shrinkToFit="1"/>
      <protection locked="0"/>
    </xf>
    <xf numFmtId="0" fontId="2" fillId="3" borderId="39" xfId="0" applyFont="1" applyFill="1" applyBorder="1" applyAlignment="1" applyProtection="1">
      <alignment shrinkToFit="1"/>
      <protection locked="0"/>
    </xf>
    <xf numFmtId="0" fontId="2" fillId="3" borderId="1" xfId="0" applyFont="1" applyFill="1" applyBorder="1" applyAlignment="1" applyProtection="1">
      <alignment vertical="center" shrinkToFit="1"/>
      <protection locked="0"/>
    </xf>
    <xf numFmtId="49" fontId="2" fillId="3" borderId="1" xfId="0" applyNumberFormat="1" applyFont="1" applyFill="1" applyBorder="1" applyAlignment="1" applyProtection="1">
      <alignment vertical="center" shrinkToFit="1"/>
      <protection locked="0"/>
    </xf>
    <xf numFmtId="0" fontId="2" fillId="3" borderId="1" xfId="0" applyFont="1" applyFill="1" applyBorder="1" applyAlignment="1" applyProtection="1">
      <alignment horizontal="center" vertical="center" shrinkToFit="1"/>
      <protection locked="0"/>
    </xf>
    <xf numFmtId="0" fontId="3" fillId="1" borderId="25" xfId="0" applyFont="1" applyFill="1" applyBorder="1" applyAlignment="1" applyProtection="1">
      <alignment horizontal="center" vertical="center" wrapText="1"/>
      <protection/>
    </xf>
    <xf numFmtId="0" fontId="20" fillId="0" borderId="0" xfId="0" applyFont="1" applyAlignment="1">
      <alignment/>
    </xf>
    <xf numFmtId="0" fontId="21" fillId="0" borderId="0" xfId="0" applyFont="1" applyAlignment="1">
      <alignment horizontal="left"/>
    </xf>
    <xf numFmtId="0" fontId="20" fillId="0" borderId="0" xfId="0" applyFont="1" applyAlignment="1">
      <alignment horizontal="center"/>
    </xf>
    <xf numFmtId="0" fontId="21" fillId="0" borderId="0" xfId="0" applyFont="1" applyAlignment="1">
      <alignment/>
    </xf>
    <xf numFmtId="0" fontId="20" fillId="0" borderId="34" xfId="0" applyFont="1" applyBorder="1" applyAlignment="1">
      <alignment horizontal="center" vertical="center"/>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20" fillId="0" borderId="41" xfId="0" applyFont="1" applyBorder="1" applyAlignment="1">
      <alignment horizontal="center" vertical="center"/>
    </xf>
    <xf numFmtId="0" fontId="20" fillId="0" borderId="42" xfId="21" applyFont="1" applyBorder="1">
      <alignment/>
      <protection/>
    </xf>
    <xf numFmtId="0" fontId="20" fillId="0" borderId="28" xfId="21" applyFont="1" applyBorder="1">
      <alignment/>
      <protection/>
    </xf>
    <xf numFmtId="0" fontId="20" fillId="0" borderId="42" xfId="21" applyFont="1" applyBorder="1" applyAlignment="1">
      <alignment horizontal="center"/>
      <protection/>
    </xf>
    <xf numFmtId="0" fontId="20" fillId="0" borderId="28" xfId="21" applyFont="1" applyBorder="1" applyAlignment="1">
      <alignment horizontal="center"/>
      <protection/>
    </xf>
    <xf numFmtId="0" fontId="20" fillId="0" borderId="43" xfId="21" applyFont="1" applyBorder="1" applyAlignment="1">
      <alignment horizontal="center"/>
      <protection/>
    </xf>
    <xf numFmtId="0" fontId="20" fillId="0" borderId="43" xfId="21" applyFont="1" applyBorder="1">
      <alignment/>
      <protection/>
    </xf>
    <xf numFmtId="0" fontId="20" fillId="0" borderId="44" xfId="21" applyFont="1" applyBorder="1" applyAlignment="1">
      <alignment horizontal="center"/>
      <protection/>
    </xf>
    <xf numFmtId="0" fontId="20" fillId="0" borderId="45" xfId="21" applyFont="1" applyBorder="1" applyAlignment="1">
      <alignment horizontal="center"/>
      <protection/>
    </xf>
    <xf numFmtId="2" fontId="20" fillId="0" borderId="45" xfId="21" applyNumberFormat="1" applyFont="1" applyBorder="1" applyAlignment="1">
      <alignment horizontal="center"/>
      <protection/>
    </xf>
    <xf numFmtId="195" fontId="22" fillId="0" borderId="46" xfId="21" applyNumberFormat="1" applyFont="1" applyBorder="1" applyAlignment="1">
      <alignment horizontal="center"/>
      <protection/>
    </xf>
    <xf numFmtId="0" fontId="20" fillId="0" borderId="47" xfId="21" applyFont="1" applyBorder="1" applyAlignment="1">
      <alignment horizontal="center"/>
      <protection/>
    </xf>
    <xf numFmtId="0" fontId="20" fillId="0" borderId="48" xfId="21" applyFont="1" applyBorder="1" applyAlignment="1">
      <alignment horizontal="center"/>
      <protection/>
    </xf>
    <xf numFmtId="2" fontId="20" fillId="0" borderId="49" xfId="21" applyNumberFormat="1" applyFont="1" applyBorder="1" applyAlignment="1">
      <alignment horizontal="center"/>
      <protection/>
    </xf>
    <xf numFmtId="0" fontId="20" fillId="0" borderId="50" xfId="21" applyFont="1" applyBorder="1" applyAlignment="1">
      <alignment horizontal="center"/>
      <protection/>
    </xf>
    <xf numFmtId="2" fontId="20" fillId="0" borderId="48" xfId="21" applyNumberFormat="1" applyFont="1" applyBorder="1" applyAlignment="1">
      <alignment horizontal="center"/>
      <protection/>
    </xf>
    <xf numFmtId="195" fontId="22" fillId="0" borderId="49" xfId="21" applyNumberFormat="1" applyFont="1" applyBorder="1" applyAlignment="1">
      <alignment horizontal="center"/>
      <protection/>
    </xf>
    <xf numFmtId="0" fontId="20" fillId="0" borderId="51" xfId="21" applyFont="1" applyBorder="1" applyAlignment="1">
      <alignment horizontal="center"/>
      <protection/>
    </xf>
    <xf numFmtId="195" fontId="20" fillId="0" borderId="49" xfId="21" applyNumberFormat="1" applyFont="1" applyBorder="1" applyAlignment="1">
      <alignment horizontal="center"/>
      <protection/>
    </xf>
    <xf numFmtId="0" fontId="20" fillId="0" borderId="26" xfId="21" applyFont="1" applyBorder="1">
      <alignment/>
      <protection/>
    </xf>
    <xf numFmtId="2" fontId="20" fillId="0" borderId="52" xfId="21" applyNumberFormat="1" applyFont="1" applyBorder="1" applyAlignment="1">
      <alignment horizontal="center"/>
      <protection/>
    </xf>
    <xf numFmtId="0" fontId="20" fillId="0" borderId="53" xfId="21" applyFont="1" applyBorder="1">
      <alignment/>
      <protection/>
    </xf>
    <xf numFmtId="0" fontId="20" fillId="0" borderId="54" xfId="21" applyFont="1" applyBorder="1" applyAlignment="1">
      <alignment horizontal="center"/>
      <protection/>
    </xf>
    <xf numFmtId="0" fontId="20" fillId="0" borderId="55" xfId="21" applyFont="1" applyBorder="1" applyAlignment="1">
      <alignment horizontal="center"/>
      <protection/>
    </xf>
    <xf numFmtId="0" fontId="20" fillId="0" borderId="31" xfId="21" applyFont="1" applyBorder="1">
      <alignment/>
      <protection/>
    </xf>
    <xf numFmtId="2" fontId="20" fillId="0" borderId="31" xfId="21" applyNumberFormat="1" applyFont="1" applyBorder="1" applyAlignment="1">
      <alignment horizontal="center"/>
      <protection/>
    </xf>
    <xf numFmtId="195" fontId="20" fillId="0" borderId="53" xfId="21" applyNumberFormat="1" applyFont="1" applyBorder="1" applyAlignment="1">
      <alignment horizontal="center"/>
      <protection/>
    </xf>
    <xf numFmtId="0" fontId="20" fillId="0" borderId="56" xfId="21" applyFont="1" applyBorder="1" applyAlignment="1">
      <alignment horizontal="center"/>
      <protection/>
    </xf>
    <xf numFmtId="0" fontId="20" fillId="0" borderId="57" xfId="21" applyFont="1" applyBorder="1">
      <alignment/>
      <protection/>
    </xf>
    <xf numFmtId="0" fontId="20" fillId="0" borderId="58" xfId="21" applyFont="1" applyBorder="1" applyAlignment="1">
      <alignment horizontal="center"/>
      <protection/>
    </xf>
    <xf numFmtId="0" fontId="20" fillId="0" borderId="25" xfId="21" applyFont="1" applyBorder="1" applyAlignment="1">
      <alignment horizontal="center"/>
      <protection/>
    </xf>
    <xf numFmtId="2" fontId="20" fillId="0" borderId="57" xfId="21" applyNumberFormat="1" applyFont="1" applyBorder="1" applyAlignment="1">
      <alignment horizontal="center"/>
      <protection/>
    </xf>
    <xf numFmtId="0" fontId="20" fillId="0" borderId="59" xfId="21" applyFont="1" applyBorder="1" applyAlignment="1">
      <alignment horizontal="center"/>
      <protection/>
    </xf>
    <xf numFmtId="0" fontId="20" fillId="0" borderId="60" xfId="21" applyFont="1" applyBorder="1" applyAlignment="1">
      <alignment horizontal="center"/>
      <protection/>
    </xf>
    <xf numFmtId="0" fontId="20" fillId="0" borderId="48" xfId="21" applyFont="1" applyBorder="1" applyAlignment="1">
      <alignment horizontal="center" wrapText="1"/>
      <protection/>
    </xf>
    <xf numFmtId="0" fontId="20" fillId="0" borderId="61" xfId="21" applyFont="1" applyBorder="1" applyAlignment="1">
      <alignment horizontal="center"/>
      <protection/>
    </xf>
    <xf numFmtId="2" fontId="20" fillId="0" borderId="62" xfId="21" applyNumberFormat="1" applyFont="1" applyBorder="1" applyAlignment="1">
      <alignment horizontal="center"/>
      <protection/>
    </xf>
    <xf numFmtId="0" fontId="20" fillId="0" borderId="31" xfId="21" applyFont="1" applyBorder="1" applyAlignment="1">
      <alignment horizontal="center"/>
      <protection/>
    </xf>
    <xf numFmtId="0" fontId="20" fillId="0" borderId="43" xfId="21" applyFont="1" applyBorder="1" applyAlignment="1">
      <alignment horizontal="left"/>
      <protection/>
    </xf>
    <xf numFmtId="0" fontId="20" fillId="0" borderId="49" xfId="21" applyNumberFormat="1" applyFont="1" applyBorder="1" applyAlignment="1">
      <alignment horizontal="center"/>
      <protection/>
    </xf>
    <xf numFmtId="0" fontId="20" fillId="0" borderId="28" xfId="21" applyFont="1" applyBorder="1" applyAlignment="1">
      <alignment horizontal="left"/>
      <protection/>
    </xf>
    <xf numFmtId="2" fontId="20" fillId="0" borderId="60" xfId="21" applyNumberFormat="1" applyFont="1" applyBorder="1" applyAlignment="1">
      <alignment horizontal="center"/>
      <protection/>
    </xf>
    <xf numFmtId="0" fontId="20" fillId="0" borderId="43" xfId="21" applyNumberFormat="1" applyFont="1" applyBorder="1" applyAlignment="1">
      <alignment horizontal="center"/>
      <protection/>
    </xf>
    <xf numFmtId="0" fontId="20" fillId="0" borderId="63" xfId="21" applyFont="1" applyBorder="1">
      <alignment/>
      <protection/>
    </xf>
    <xf numFmtId="0" fontId="20" fillId="0" borderId="64" xfId="21" applyFont="1" applyBorder="1">
      <alignment/>
      <protection/>
    </xf>
    <xf numFmtId="0" fontId="20" fillId="0" borderId="65" xfId="21" applyFont="1" applyBorder="1" applyAlignment="1">
      <alignment horizontal="center"/>
      <protection/>
    </xf>
    <xf numFmtId="0" fontId="20" fillId="0" borderId="66" xfId="21" applyFont="1" applyBorder="1" applyAlignment="1">
      <alignment horizontal="center"/>
      <protection/>
    </xf>
    <xf numFmtId="0" fontId="20" fillId="0" borderId="67" xfId="21" applyFont="1" applyBorder="1">
      <alignment/>
      <protection/>
    </xf>
    <xf numFmtId="2" fontId="20" fillId="0" borderId="66" xfId="21" applyNumberFormat="1" applyFont="1" applyBorder="1" applyAlignment="1">
      <alignment horizontal="center"/>
      <protection/>
    </xf>
    <xf numFmtId="0" fontId="20" fillId="0" borderId="68" xfId="21" applyNumberFormat="1" applyFont="1" applyBorder="1" applyAlignment="1">
      <alignment horizontal="center"/>
      <protection/>
    </xf>
    <xf numFmtId="0" fontId="20" fillId="0" borderId="16" xfId="21" applyFont="1" applyBorder="1">
      <alignment/>
      <protection/>
    </xf>
    <xf numFmtId="0" fontId="20" fillId="0" borderId="69" xfId="21" applyFont="1" applyBorder="1">
      <alignment/>
      <protection/>
    </xf>
    <xf numFmtId="0" fontId="20" fillId="0" borderId="70" xfId="21" applyFont="1" applyBorder="1" applyAlignment="1">
      <alignment horizontal="center"/>
      <protection/>
    </xf>
    <xf numFmtId="2" fontId="20" fillId="0" borderId="61" xfId="21" applyNumberFormat="1" applyFont="1" applyBorder="1" applyAlignment="1">
      <alignment horizontal="center"/>
      <protection/>
    </xf>
    <xf numFmtId="195" fontId="20" fillId="0" borderId="62" xfId="21" applyNumberFormat="1" applyFont="1" applyBorder="1" applyAlignment="1">
      <alignment horizontal="center"/>
      <protection/>
    </xf>
    <xf numFmtId="0" fontId="20" fillId="0" borderId="71" xfId="21" applyFont="1" applyBorder="1">
      <alignment/>
      <protection/>
    </xf>
    <xf numFmtId="0" fontId="20" fillId="0" borderId="72" xfId="21" applyFont="1" applyBorder="1">
      <alignment/>
      <protection/>
    </xf>
    <xf numFmtId="0" fontId="20" fillId="0" borderId="72" xfId="21" applyFont="1" applyBorder="1" applyAlignment="1">
      <alignment horizontal="center"/>
      <protection/>
    </xf>
    <xf numFmtId="2" fontId="20" fillId="0" borderId="43" xfId="21" applyNumberFormat="1" applyFont="1" applyBorder="1" applyAlignment="1">
      <alignment horizontal="center"/>
      <protection/>
    </xf>
    <xf numFmtId="0" fontId="20" fillId="0" borderId="73" xfId="21" applyFont="1" applyBorder="1">
      <alignment/>
      <protection/>
    </xf>
    <xf numFmtId="0" fontId="20" fillId="0" borderId="74" xfId="21" applyFont="1" applyBorder="1" applyAlignment="1">
      <alignment horizontal="center"/>
      <protection/>
    </xf>
    <xf numFmtId="0" fontId="20" fillId="0" borderId="75" xfId="21" applyFont="1" applyBorder="1" applyAlignment="1">
      <alignment horizontal="center"/>
      <protection/>
    </xf>
    <xf numFmtId="2" fontId="20" fillId="0" borderId="76" xfId="21" applyNumberFormat="1" applyFont="1" applyBorder="1" applyAlignment="1">
      <alignment horizontal="center"/>
      <protection/>
    </xf>
    <xf numFmtId="0" fontId="20" fillId="0" borderId="27" xfId="21" applyFont="1" applyBorder="1">
      <alignment/>
      <protection/>
    </xf>
    <xf numFmtId="0" fontId="20" fillId="0" borderId="27" xfId="21" applyFont="1" applyBorder="1" applyAlignment="1">
      <alignment horizontal="center"/>
      <protection/>
    </xf>
    <xf numFmtId="0" fontId="20" fillId="0" borderId="77" xfId="21" applyFont="1" applyBorder="1">
      <alignment/>
      <protection/>
    </xf>
    <xf numFmtId="0" fontId="20" fillId="0" borderId="78" xfId="21" applyFont="1" applyBorder="1" applyAlignment="1">
      <alignment horizontal="center"/>
      <protection/>
    </xf>
    <xf numFmtId="195" fontId="20" fillId="0" borderId="68" xfId="21" applyNumberFormat="1" applyFont="1" applyBorder="1" applyAlignment="1">
      <alignment horizontal="center"/>
      <protection/>
    </xf>
    <xf numFmtId="2" fontId="20" fillId="0" borderId="46" xfId="21" applyNumberFormat="1" applyFont="1" applyBorder="1" applyAlignment="1">
      <alignment horizontal="center"/>
      <protection/>
    </xf>
    <xf numFmtId="0" fontId="20" fillId="0" borderId="79" xfId="21" applyFont="1" applyBorder="1" applyAlignment="1">
      <alignment horizontal="center"/>
      <protection/>
    </xf>
    <xf numFmtId="0" fontId="20" fillId="0" borderId="63" xfId="21" applyFont="1" applyBorder="1" applyAlignment="1">
      <alignment horizontal="center"/>
      <protection/>
    </xf>
    <xf numFmtId="0" fontId="20" fillId="0" borderId="67" xfId="21" applyFont="1" applyBorder="1" applyAlignment="1">
      <alignment horizontal="center"/>
      <protection/>
    </xf>
    <xf numFmtId="2" fontId="20" fillId="0" borderId="64" xfId="21" applyNumberFormat="1" applyFont="1" applyBorder="1" applyAlignment="1">
      <alignment horizontal="center"/>
      <protection/>
    </xf>
    <xf numFmtId="181" fontId="2" fillId="3" borderId="1" xfId="0" applyNumberFormat="1" applyFont="1" applyFill="1" applyBorder="1" applyAlignment="1" applyProtection="1">
      <alignment shrinkToFit="1"/>
      <protection locked="0"/>
    </xf>
    <xf numFmtId="0" fontId="23" fillId="0" borderId="0" xfId="0" applyFont="1" applyFill="1" applyAlignment="1" applyProtection="1">
      <alignment horizontal="right"/>
      <protection hidden="1"/>
    </xf>
    <xf numFmtId="0" fontId="23" fillId="0" borderId="0" xfId="0" applyFont="1" applyAlignment="1" applyProtection="1">
      <alignment horizontal="center"/>
      <protection hidden="1"/>
    </xf>
    <xf numFmtId="0" fontId="0" fillId="0" borderId="0" xfId="0" applyFont="1" applyAlignment="1" applyProtection="1">
      <alignment horizontal="left"/>
      <protection/>
    </xf>
    <xf numFmtId="0" fontId="3" fillId="0" borderId="1" xfId="0" applyFont="1" applyFill="1" applyBorder="1" applyAlignment="1" applyProtection="1">
      <alignment horizontal="center" vertical="center" wrapText="1"/>
      <protection/>
    </xf>
    <xf numFmtId="0" fontId="16" fillId="0" borderId="0" xfId="0" applyFont="1" applyAlignment="1" applyProtection="1">
      <alignment horizontal="left"/>
      <protection locked="0"/>
    </xf>
    <xf numFmtId="0" fontId="12" fillId="0" borderId="29" xfId="0" applyFont="1" applyBorder="1" applyAlignment="1" applyProtection="1">
      <alignment vertical="center" wrapText="1"/>
      <protection/>
    </xf>
    <xf numFmtId="0" fontId="12" fillId="0" borderId="37" xfId="0" applyFont="1" applyBorder="1" applyAlignment="1" applyProtection="1">
      <alignment vertical="center" wrapText="1"/>
      <protection/>
    </xf>
    <xf numFmtId="0" fontId="3" fillId="1" borderId="31" xfId="0" applyFont="1" applyFill="1" applyBorder="1" applyAlignment="1" applyProtection="1">
      <alignment horizontal="center" vertical="center" wrapText="1"/>
      <protection/>
    </xf>
    <xf numFmtId="0" fontId="0" fillId="1" borderId="31" xfId="0" applyFill="1" applyBorder="1" applyAlignment="1" applyProtection="1">
      <alignment wrapText="1"/>
      <protection/>
    </xf>
    <xf numFmtId="0" fontId="0" fillId="0" borderId="1" xfId="0" applyFont="1" applyFill="1" applyBorder="1" applyAlignment="1" applyProtection="1">
      <alignment vertical="center" wrapText="1"/>
      <protection/>
    </xf>
    <xf numFmtId="201" fontId="2" fillId="0" borderId="1" xfId="0" applyNumberFormat="1" applyFont="1" applyFill="1" applyBorder="1" applyAlignment="1" applyProtection="1">
      <alignment shrinkToFit="1"/>
      <protection/>
    </xf>
    <xf numFmtId="210" fontId="2" fillId="0" borderId="1" xfId="0" applyNumberFormat="1" applyFont="1" applyFill="1" applyBorder="1" applyAlignment="1" applyProtection="1">
      <alignment shrinkToFit="1"/>
      <protection/>
    </xf>
    <xf numFmtId="0" fontId="2" fillId="0" borderId="1" xfId="0" applyFont="1" applyFill="1" applyBorder="1" applyAlignment="1" applyProtection="1">
      <alignment horizontal="center" shrinkToFit="1"/>
      <protection/>
    </xf>
    <xf numFmtId="0" fontId="7" fillId="0" borderId="0" xfId="0" applyFont="1" applyAlignment="1" applyProtection="1">
      <alignment/>
      <protection locked="0"/>
    </xf>
    <xf numFmtId="0" fontId="7" fillId="0" borderId="0" xfId="0" applyFont="1" applyAlignment="1" applyProtection="1">
      <alignment horizontal="right" vertical="center"/>
      <protection locked="0"/>
    </xf>
    <xf numFmtId="0" fontId="7" fillId="0" borderId="0" xfId="0" applyFont="1" applyAlignment="1" applyProtection="1">
      <alignment/>
      <protection locked="0"/>
    </xf>
    <xf numFmtId="0" fontId="7" fillId="0" borderId="0" xfId="0" applyFont="1" applyAlignment="1" applyProtection="1">
      <alignment horizontal="center" vertical="top"/>
      <protection locked="0"/>
    </xf>
    <xf numFmtId="49" fontId="7" fillId="0" borderId="0" xfId="0" applyNumberFormat="1" applyFont="1" applyAlignment="1" applyProtection="1">
      <alignment horizontal="right" vertical="top"/>
      <protection locked="0"/>
    </xf>
    <xf numFmtId="0" fontId="7" fillId="0" borderId="0" xfId="0" applyFont="1" applyAlignment="1" applyProtection="1">
      <alignment vertical="top" wrapText="1"/>
      <protection locked="0"/>
    </xf>
    <xf numFmtId="0" fontId="7" fillId="0" borderId="0" xfId="0" applyFont="1" applyAlignment="1" applyProtection="1">
      <alignment vertical="top"/>
      <protection locked="0"/>
    </xf>
    <xf numFmtId="0" fontId="7" fillId="0" borderId="0" xfId="0" applyFont="1" applyAlignment="1" applyProtection="1">
      <alignment horizontal="left" vertical="center"/>
      <protection locked="0"/>
    </xf>
    <xf numFmtId="0" fontId="7" fillId="0" borderId="0" xfId="0" applyFont="1" applyAlignment="1" applyProtection="1">
      <alignment horizontal="center" vertical="center"/>
      <protection locked="0"/>
    </xf>
    <xf numFmtId="0" fontId="7" fillId="0" borderId="25" xfId="0" applyFont="1" applyBorder="1" applyAlignment="1" applyProtection="1">
      <alignment/>
      <protection locked="0"/>
    </xf>
    <xf numFmtId="0" fontId="7" fillId="0" borderId="23" xfId="0" applyFont="1" applyBorder="1" applyAlignment="1" applyProtection="1">
      <alignment vertical="center"/>
      <protection locked="0"/>
    </xf>
    <xf numFmtId="0" fontId="7" fillId="0" borderId="32" xfId="0" applyFont="1" applyBorder="1" applyAlignment="1" applyProtection="1">
      <alignment vertical="center"/>
      <protection locked="0"/>
    </xf>
    <xf numFmtId="0" fontId="7" fillId="0" borderId="24" xfId="0" applyFont="1" applyBorder="1" applyAlignment="1" applyProtection="1">
      <alignment vertical="center"/>
      <protection locked="0"/>
    </xf>
    <xf numFmtId="0" fontId="7" fillId="0" borderId="0" xfId="0" applyFont="1" applyBorder="1" applyAlignment="1" applyProtection="1">
      <alignment vertical="center"/>
      <protection locked="0"/>
    </xf>
    <xf numFmtId="0" fontId="7" fillId="0" borderId="28" xfId="0" applyFont="1" applyBorder="1" applyAlignment="1" applyProtection="1">
      <alignment horizontal="center" vertical="center"/>
      <protection locked="0"/>
    </xf>
    <xf numFmtId="0" fontId="7" fillId="0" borderId="26" xfId="0" applyFont="1" applyBorder="1" applyAlignment="1" applyProtection="1">
      <alignment vertical="center"/>
      <protection locked="0"/>
    </xf>
    <xf numFmtId="0" fontId="7" fillId="0" borderId="27" xfId="0" applyFont="1" applyBorder="1" applyAlignment="1" applyProtection="1">
      <alignment vertical="center"/>
      <protection locked="0"/>
    </xf>
    <xf numFmtId="0" fontId="7" fillId="0" borderId="31" xfId="0" applyFont="1" applyBorder="1" applyAlignment="1" applyProtection="1">
      <alignment vertical="center"/>
      <protection locked="0"/>
    </xf>
    <xf numFmtId="0" fontId="7" fillId="0" borderId="29" xfId="0" applyFont="1" applyBorder="1" applyAlignment="1" applyProtection="1">
      <alignment vertical="center"/>
      <protection locked="0"/>
    </xf>
    <xf numFmtId="0" fontId="7" fillId="0" borderId="80" xfId="0" applyFont="1" applyBorder="1" applyAlignment="1" applyProtection="1">
      <alignment vertical="center"/>
      <protection locked="0"/>
    </xf>
    <xf numFmtId="0" fontId="7" fillId="0" borderId="30" xfId="0" applyFont="1" applyBorder="1" applyAlignment="1" applyProtection="1">
      <alignment vertical="center"/>
      <protection locked="0"/>
    </xf>
    <xf numFmtId="0" fontId="0" fillId="0" borderId="0" xfId="0" applyAlignment="1" applyProtection="1">
      <alignment horizontal="center" vertical="center"/>
      <protection/>
    </xf>
    <xf numFmtId="0" fontId="5" fillId="0" borderId="0" xfId="0" applyFont="1" applyAlignment="1" applyProtection="1">
      <alignment/>
      <protection/>
    </xf>
    <xf numFmtId="0" fontId="0" fillId="0" borderId="0" xfId="0" applyBorder="1" applyAlignment="1" applyProtection="1">
      <alignment horizontal="center" vertical="center"/>
      <protection/>
    </xf>
    <xf numFmtId="0" fontId="7" fillId="0" borderId="0" xfId="0" applyNumberFormat="1" applyFont="1" applyAlignment="1" applyProtection="1">
      <alignment/>
      <protection/>
    </xf>
    <xf numFmtId="0" fontId="7" fillId="0" borderId="0" xfId="0" applyFont="1" applyAlignment="1" applyProtection="1">
      <alignment/>
      <protection/>
    </xf>
    <xf numFmtId="0" fontId="0" fillId="0" borderId="1" xfId="0" applyFont="1" applyFill="1" applyBorder="1" applyAlignment="1" applyProtection="1">
      <alignment vertical="center"/>
      <protection/>
    </xf>
    <xf numFmtId="0" fontId="0" fillId="0" borderId="0" xfId="0" applyAlignment="1" applyProtection="1">
      <alignment vertical="top"/>
      <protection/>
    </xf>
    <xf numFmtId="0" fontId="0" fillId="0" borderId="1" xfId="0" applyFont="1" applyFill="1" applyBorder="1" applyAlignment="1" applyProtection="1">
      <alignment/>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left"/>
      <protection/>
    </xf>
    <xf numFmtId="0" fontId="0" fillId="0" borderId="1" xfId="0" applyBorder="1" applyAlignment="1" applyProtection="1">
      <alignment vertical="center"/>
      <protection/>
    </xf>
    <xf numFmtId="0" fontId="0" fillId="0" borderId="1" xfId="0" applyBorder="1" applyAlignment="1" applyProtection="1">
      <alignment horizontal="center" vertical="center"/>
      <protection/>
    </xf>
    <xf numFmtId="0" fontId="2" fillId="0" borderId="0" xfId="0" applyFont="1" applyAlignment="1" applyProtection="1">
      <alignment vertical="top"/>
      <protection/>
    </xf>
    <xf numFmtId="0" fontId="7" fillId="0" borderId="0" xfId="0" applyFont="1" applyAlignment="1" applyProtection="1">
      <alignment vertical="center"/>
      <protection/>
    </xf>
    <xf numFmtId="49" fontId="3" fillId="0" borderId="0" xfId="0" applyNumberFormat="1" applyFont="1" applyAlignment="1" applyProtection="1">
      <alignment/>
      <protection/>
    </xf>
    <xf numFmtId="0" fontId="3" fillId="0" borderId="1" xfId="0" applyFont="1" applyFill="1" applyBorder="1" applyAlignment="1" applyProtection="1">
      <alignment horizontal="center" vertical="center"/>
      <protection/>
    </xf>
    <xf numFmtId="0" fontId="2" fillId="0" borderId="1" xfId="0" applyFont="1" applyFill="1" applyBorder="1" applyAlignment="1" applyProtection="1">
      <alignment horizontal="center"/>
      <protection/>
    </xf>
    <xf numFmtId="182" fontId="2" fillId="0" borderId="1" xfId="0" applyNumberFormat="1" applyFont="1" applyFill="1" applyBorder="1" applyAlignment="1" applyProtection="1">
      <alignment horizontal="center" vertical="center"/>
      <protection/>
    </xf>
    <xf numFmtId="0" fontId="2" fillId="0" borderId="1" xfId="0" applyFont="1" applyFill="1" applyBorder="1" applyAlignment="1" applyProtection="1">
      <alignment horizontal="center" vertical="center"/>
      <protection/>
    </xf>
    <xf numFmtId="0" fontId="2" fillId="4" borderId="81" xfId="0" applyFont="1" applyFill="1" applyBorder="1" applyAlignment="1" applyProtection="1">
      <alignment/>
      <protection/>
    </xf>
    <xf numFmtId="0" fontId="2" fillId="4" borderId="81" xfId="0" applyFont="1" applyFill="1" applyBorder="1" applyAlignment="1" applyProtection="1">
      <alignment/>
      <protection/>
    </xf>
    <xf numFmtId="0" fontId="7" fillId="0" borderId="0" xfId="0" applyFont="1" applyBorder="1" applyAlignment="1" applyProtection="1">
      <alignment/>
      <protection/>
    </xf>
    <xf numFmtId="0" fontId="10" fillId="0" borderId="1" xfId="23" applyFont="1" applyBorder="1" applyAlignment="1" applyProtection="1">
      <alignment horizontal="center" vertical="center" wrapText="1"/>
      <protection/>
    </xf>
    <xf numFmtId="182" fontId="0" fillId="0" borderId="1" xfId="0" applyNumberFormat="1" applyFont="1" applyBorder="1" applyAlignment="1" applyProtection="1">
      <alignment horizontal="center" vertical="center"/>
      <protection/>
    </xf>
    <xf numFmtId="0" fontId="10" fillId="0" borderId="1" xfId="23" applyFont="1" applyFill="1" applyBorder="1" applyAlignment="1" applyProtection="1">
      <alignment horizontal="center" vertical="center" wrapText="1"/>
      <protection/>
    </xf>
    <xf numFmtId="0" fontId="0" fillId="0" borderId="1" xfId="0" applyFont="1" applyBorder="1" applyAlignment="1" applyProtection="1">
      <alignment vertical="center"/>
      <protection/>
    </xf>
    <xf numFmtId="0" fontId="10" fillId="0" borderId="1" xfId="0" applyFont="1" applyBorder="1" applyAlignment="1" applyProtection="1">
      <alignment horizontal="center" vertical="center"/>
      <protection/>
    </xf>
    <xf numFmtId="0" fontId="0" fillId="0" borderId="1" xfId="0" applyFont="1" applyBorder="1" applyAlignment="1" applyProtection="1">
      <alignment/>
      <protection/>
    </xf>
    <xf numFmtId="182" fontId="0" fillId="4" borderId="1" xfId="0" applyNumberFormat="1" applyFont="1" applyFill="1" applyBorder="1" applyAlignment="1" applyProtection="1">
      <alignment horizontal="center" vertical="center"/>
      <protection/>
    </xf>
    <xf numFmtId="182" fontId="0" fillId="0" borderId="82" xfId="0" applyNumberFormat="1" applyFont="1" applyFill="1" applyBorder="1" applyAlignment="1" applyProtection="1">
      <alignment horizontal="center" vertical="center"/>
      <protection/>
    </xf>
    <xf numFmtId="182" fontId="0" fillId="0" borderId="1" xfId="0" applyNumberFormat="1" applyFont="1" applyFill="1" applyBorder="1" applyAlignment="1" applyProtection="1">
      <alignment horizontal="center" vertical="center"/>
      <protection/>
    </xf>
    <xf numFmtId="0" fontId="0" fillId="0" borderId="0" xfId="0" applyFont="1" applyBorder="1" applyAlignment="1" applyProtection="1">
      <alignment/>
      <protection/>
    </xf>
    <xf numFmtId="0" fontId="2" fillId="0" borderId="0" xfId="0" applyFont="1" applyBorder="1" applyAlignment="1" applyProtection="1">
      <alignment/>
      <protection/>
    </xf>
    <xf numFmtId="0" fontId="10" fillId="0" borderId="9" xfId="23" applyFont="1" applyBorder="1" applyAlignment="1" applyProtection="1">
      <alignment horizontal="center" vertical="center" wrapText="1"/>
      <protection/>
    </xf>
    <xf numFmtId="182" fontId="0" fillId="0" borderId="9" xfId="0" applyNumberFormat="1" applyFont="1" applyBorder="1" applyAlignment="1" applyProtection="1">
      <alignment horizontal="center" vertical="center"/>
      <protection/>
    </xf>
    <xf numFmtId="0" fontId="0" fillId="0" borderId="0" xfId="0" applyFont="1" applyAlignment="1" applyProtection="1">
      <alignment/>
      <protection/>
    </xf>
    <xf numFmtId="0" fontId="0" fillId="0" borderId="83" xfId="0" applyFont="1" applyBorder="1" applyAlignment="1" applyProtection="1">
      <alignment vertical="center" wrapText="1"/>
      <protection/>
    </xf>
    <xf numFmtId="0" fontId="10" fillId="0" borderId="84" xfId="0" applyFont="1" applyBorder="1" applyAlignment="1" applyProtection="1">
      <alignment horizontal="center" vertical="center"/>
      <protection/>
    </xf>
    <xf numFmtId="182" fontId="0" fillId="0" borderId="18" xfId="0" applyNumberFormat="1" applyFont="1" applyBorder="1" applyAlignment="1" applyProtection="1">
      <alignment horizontal="center" vertical="center"/>
      <protection/>
    </xf>
    <xf numFmtId="0" fontId="0" fillId="0" borderId="83"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10" fillId="0" borderId="24" xfId="0" applyFont="1" applyBorder="1" applyAlignment="1" applyProtection="1">
      <alignment horizontal="center" vertical="center"/>
      <protection/>
    </xf>
    <xf numFmtId="0" fontId="0" fillId="0" borderId="21" xfId="0" applyFont="1" applyBorder="1" applyAlignment="1" applyProtection="1">
      <alignment vertical="center" wrapText="1"/>
      <protection/>
    </xf>
    <xf numFmtId="0" fontId="10" fillId="0" borderId="21" xfId="0" applyFont="1" applyBorder="1" applyAlignment="1" applyProtection="1">
      <alignment horizontal="center" vertical="center"/>
      <protection/>
    </xf>
    <xf numFmtId="182" fontId="0" fillId="0" borderId="21" xfId="0" applyNumberFormat="1" applyFont="1" applyBorder="1" applyAlignment="1" applyProtection="1">
      <alignment horizontal="center" vertical="center"/>
      <protection/>
    </xf>
    <xf numFmtId="0" fontId="0" fillId="2" borderId="6" xfId="0" applyFont="1" applyFill="1" applyBorder="1" applyAlignment="1" applyProtection="1">
      <alignment vertical="top"/>
      <protection/>
    </xf>
    <xf numFmtId="180" fontId="0" fillId="0" borderId="6" xfId="0" applyNumberFormat="1" applyFont="1" applyFill="1" applyBorder="1" applyAlignment="1" applyProtection="1">
      <alignment horizontal="right" vertical="top"/>
      <protection/>
    </xf>
    <xf numFmtId="0" fontId="0" fillId="0" borderId="6" xfId="0" applyFont="1" applyBorder="1" applyAlignment="1" applyProtection="1">
      <alignment vertical="center"/>
      <protection/>
    </xf>
    <xf numFmtId="0" fontId="0" fillId="0" borderId="33" xfId="0" applyBorder="1" applyAlignment="1" applyProtection="1">
      <alignment/>
      <protection/>
    </xf>
    <xf numFmtId="0" fontId="0" fillId="0" borderId="33" xfId="0" applyBorder="1" applyAlignment="1" applyProtection="1">
      <alignment vertical="center"/>
      <protection/>
    </xf>
    <xf numFmtId="0" fontId="0" fillId="0" borderId="33" xfId="0" applyBorder="1" applyAlignment="1" applyProtection="1">
      <alignment/>
      <protection/>
    </xf>
    <xf numFmtId="0" fontId="0" fillId="0" borderId="5" xfId="0" applyBorder="1" applyAlignment="1" applyProtection="1">
      <alignment/>
      <protection/>
    </xf>
    <xf numFmtId="0" fontId="0" fillId="0" borderId="5" xfId="0" applyBorder="1" applyAlignment="1" applyProtection="1">
      <alignment vertical="center"/>
      <protection/>
    </xf>
    <xf numFmtId="0" fontId="0" fillId="0" borderId="5" xfId="0" applyFont="1" applyFill="1" applyBorder="1" applyAlignment="1" applyProtection="1">
      <alignment vertical="center"/>
      <protection/>
    </xf>
    <xf numFmtId="0" fontId="0" fillId="0" borderId="5" xfId="0" applyFill="1" applyBorder="1" applyAlignment="1" applyProtection="1">
      <alignment/>
      <protection/>
    </xf>
    <xf numFmtId="0" fontId="0" fillId="0" borderId="0" xfId="0" applyFill="1" applyBorder="1" applyAlignment="1" applyProtection="1">
      <alignment/>
      <protection/>
    </xf>
    <xf numFmtId="180" fontId="0" fillId="2" borderId="6" xfId="0" applyNumberFormat="1" applyFont="1" applyFill="1" applyBorder="1" applyAlignment="1" applyProtection="1">
      <alignment vertical="top"/>
      <protection/>
    </xf>
    <xf numFmtId="0" fontId="0" fillId="0" borderId="0" xfId="0" applyAlignment="1" applyProtection="1">
      <alignment horizontal="left"/>
      <protection/>
    </xf>
    <xf numFmtId="0" fontId="3" fillId="1" borderId="31" xfId="0" applyFont="1" applyFill="1" applyBorder="1" applyAlignment="1">
      <alignment horizontal="center" vertical="center" wrapText="1"/>
    </xf>
    <xf numFmtId="0" fontId="2" fillId="0" borderId="1" xfId="0" applyNumberFormat="1" applyFont="1" applyBorder="1" applyAlignment="1" applyProtection="1">
      <alignment/>
      <protection/>
    </xf>
    <xf numFmtId="0" fontId="17" fillId="0" borderId="1" xfId="0" applyNumberFormat="1" applyFont="1" applyBorder="1" applyAlignment="1" applyProtection="1">
      <alignment horizontal="center"/>
      <protection/>
    </xf>
    <xf numFmtId="49" fontId="0" fillId="3" borderId="1" xfId="0" applyNumberFormat="1" applyFont="1" applyFill="1" applyBorder="1" applyAlignment="1" applyProtection="1">
      <alignment horizontal="left" vertical="center"/>
      <protection locked="0"/>
    </xf>
    <xf numFmtId="49" fontId="0" fillId="3" borderId="1" xfId="0" applyNumberFormat="1" applyFont="1" applyFill="1" applyBorder="1" applyAlignment="1" applyProtection="1">
      <alignment horizontal="left" vertical="center" wrapText="1"/>
      <protection locked="0"/>
    </xf>
    <xf numFmtId="49" fontId="0" fillId="3" borderId="1" xfId="0" applyNumberFormat="1" applyFont="1" applyFill="1" applyBorder="1" applyAlignment="1" applyProtection="1">
      <alignment horizontal="left"/>
      <protection locked="0"/>
    </xf>
    <xf numFmtId="181" fontId="2" fillId="3" borderId="1" xfId="0" applyNumberFormat="1" applyFont="1" applyFill="1" applyBorder="1" applyAlignment="1" applyProtection="1">
      <alignment horizontal="center" vertical="center" shrinkToFit="1"/>
      <protection locked="0"/>
    </xf>
    <xf numFmtId="0" fontId="2" fillId="0" borderId="1" xfId="0" applyFont="1" applyFill="1" applyBorder="1" applyAlignment="1" applyProtection="1">
      <alignment shrinkToFit="1"/>
      <protection locked="0"/>
    </xf>
    <xf numFmtId="201" fontId="2" fillId="3" borderId="1" xfId="0" applyNumberFormat="1" applyFont="1" applyFill="1" applyBorder="1" applyAlignment="1" applyProtection="1">
      <alignment shrinkToFit="1"/>
      <protection locked="0"/>
    </xf>
    <xf numFmtId="201" fontId="2" fillId="3" borderId="40" xfId="0" applyNumberFormat="1" applyFont="1" applyFill="1" applyBorder="1" applyAlignment="1" applyProtection="1">
      <alignment shrinkToFit="1"/>
      <protection locked="0"/>
    </xf>
    <xf numFmtId="201" fontId="2" fillId="3" borderId="39" xfId="0" applyNumberFormat="1" applyFont="1" applyFill="1" applyBorder="1" applyAlignment="1" applyProtection="1">
      <alignment shrinkToFit="1"/>
      <protection locked="0"/>
    </xf>
    <xf numFmtId="0" fontId="3" fillId="4" borderId="1" xfId="0" applyFont="1" applyFill="1" applyBorder="1" applyAlignment="1" applyProtection="1">
      <alignment vertical="center" wrapText="1"/>
      <protection/>
    </xf>
    <xf numFmtId="0" fontId="3" fillId="0" borderId="1" xfId="0" applyFont="1" applyBorder="1" applyAlignment="1" applyProtection="1">
      <alignment wrapText="1"/>
      <protection/>
    </xf>
    <xf numFmtId="0" fontId="3" fillId="0" borderId="6" xfId="0" applyFont="1" applyBorder="1" applyAlignment="1" applyProtection="1">
      <alignment horizontal="center" vertical="center" wrapText="1"/>
      <protection/>
    </xf>
    <xf numFmtId="0" fontId="3" fillId="0" borderId="5" xfId="0" applyFont="1" applyBorder="1" applyAlignment="1" applyProtection="1">
      <alignment horizontal="center" vertical="center" wrapText="1"/>
      <protection/>
    </xf>
    <xf numFmtId="0" fontId="3" fillId="0" borderId="1" xfId="0" applyFont="1" applyFill="1" applyBorder="1" applyAlignment="1" applyProtection="1">
      <alignment vertical="center" wrapText="1"/>
      <protection/>
    </xf>
    <xf numFmtId="0" fontId="3" fillId="0" borderId="1" xfId="0" applyFont="1" applyBorder="1" applyAlignment="1" applyProtection="1">
      <alignment/>
      <protection/>
    </xf>
    <xf numFmtId="0" fontId="12" fillId="0" borderId="1" xfId="0" applyFont="1" applyFill="1" applyBorder="1" applyAlignment="1" applyProtection="1">
      <alignment horizontal="center" vertical="center" wrapText="1"/>
      <protection/>
    </xf>
    <xf numFmtId="0" fontId="12" fillId="0" borderId="1" xfId="0" applyFont="1" applyBorder="1" applyAlignment="1" applyProtection="1">
      <alignment/>
      <protection/>
    </xf>
    <xf numFmtId="0" fontId="3" fillId="0" borderId="25" xfId="0" applyFont="1" applyFill="1" applyBorder="1" applyAlignment="1" applyProtection="1">
      <alignment vertical="center" wrapText="1"/>
      <protection/>
    </xf>
    <xf numFmtId="0" fontId="0" fillId="0" borderId="31" xfId="0" applyBorder="1" applyAlignment="1" applyProtection="1">
      <alignment/>
      <protection/>
    </xf>
    <xf numFmtId="0" fontId="3" fillId="1" borderId="25" xfId="0" applyFont="1" applyFill="1" applyBorder="1" applyAlignment="1" applyProtection="1">
      <alignment vertical="center" wrapText="1"/>
      <protection/>
    </xf>
    <xf numFmtId="0" fontId="0" fillId="0" borderId="31" xfId="0" applyBorder="1" applyAlignment="1">
      <alignment/>
    </xf>
    <xf numFmtId="0" fontId="3" fillId="1" borderId="1" xfId="0" applyFont="1" applyFill="1" applyBorder="1" applyAlignment="1" applyProtection="1">
      <alignment vertical="center" wrapText="1"/>
      <protection/>
    </xf>
    <xf numFmtId="0" fontId="3" fillId="1" borderId="25" xfId="0" applyFont="1" applyFill="1" applyBorder="1" applyAlignment="1" applyProtection="1">
      <alignment horizontal="center" vertical="center" wrapText="1"/>
      <protection/>
    </xf>
    <xf numFmtId="0" fontId="0" fillId="0" borderId="31" xfId="0" applyBorder="1" applyAlignment="1" applyProtection="1">
      <alignment wrapText="1"/>
      <protection/>
    </xf>
    <xf numFmtId="0" fontId="3" fillId="0" borderId="23" xfId="0" applyFont="1" applyFill="1" applyBorder="1" applyAlignment="1" applyProtection="1">
      <alignment horizontal="center" vertical="center" wrapText="1"/>
      <protection/>
    </xf>
    <xf numFmtId="0" fontId="0" fillId="0" borderId="24" xfId="0" applyBorder="1" applyAlignment="1" applyProtection="1">
      <alignment horizontal="center" vertical="center" wrapText="1"/>
      <protection/>
    </xf>
    <xf numFmtId="0" fontId="0" fillId="1" borderId="31" xfId="0" applyFill="1" applyBorder="1" applyAlignment="1" applyProtection="1">
      <alignment wrapText="1"/>
      <protection/>
    </xf>
    <xf numFmtId="0" fontId="3" fillId="0" borderId="1" xfId="0" applyFont="1" applyBorder="1" applyAlignment="1" applyProtection="1">
      <alignment vertical="center" wrapText="1"/>
      <protection/>
    </xf>
    <xf numFmtId="0" fontId="3" fillId="1" borderId="6" xfId="0" applyFont="1" applyFill="1" applyBorder="1" applyAlignment="1" applyProtection="1">
      <alignment horizontal="center" vertical="center" wrapText="1"/>
      <protection/>
    </xf>
    <xf numFmtId="0" fontId="0" fillId="0" borderId="33" xfId="0" applyBorder="1" applyAlignment="1">
      <alignment/>
    </xf>
    <xf numFmtId="0" fontId="0" fillId="0" borderId="5" xfId="0" applyBorder="1" applyAlignment="1">
      <alignment/>
    </xf>
    <xf numFmtId="0" fontId="3" fillId="0" borderId="85" xfId="0" applyFont="1" applyBorder="1" applyAlignment="1" applyProtection="1">
      <alignment horizontal="center" vertical="center"/>
      <protection/>
    </xf>
    <xf numFmtId="0" fontId="3" fillId="0" borderId="86" xfId="0" applyFont="1" applyBorder="1" applyAlignment="1" applyProtection="1">
      <alignment horizontal="center" vertical="center"/>
      <protection/>
    </xf>
    <xf numFmtId="0" fontId="3" fillId="0" borderId="1" xfId="0" applyFont="1" applyFill="1" applyBorder="1" applyAlignment="1" applyProtection="1">
      <alignment horizontal="center" vertical="center" wrapText="1"/>
      <protection/>
    </xf>
    <xf numFmtId="0" fontId="3" fillId="0" borderId="23" xfId="0"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7" fillId="0" borderId="0" xfId="0" applyFont="1" applyBorder="1" applyAlignment="1" applyProtection="1">
      <alignment horizontal="left" vertical="top" wrapText="1"/>
      <protection locked="0"/>
    </xf>
    <xf numFmtId="0" fontId="0" fillId="0" borderId="25" xfId="0" applyFont="1" applyFill="1" applyBorder="1" applyAlignment="1" applyProtection="1">
      <alignment vertical="center" wrapText="1"/>
      <protection/>
    </xf>
    <xf numFmtId="0" fontId="0" fillId="0" borderId="28" xfId="0" applyBorder="1" applyAlignment="1" applyProtection="1">
      <alignment wrapText="1"/>
      <protection/>
    </xf>
    <xf numFmtId="0" fontId="6" fillId="0" borderId="0" xfId="0" applyFont="1" applyAlignment="1" applyProtection="1">
      <alignment horizontal="center" vertical="center"/>
      <protection/>
    </xf>
    <xf numFmtId="0" fontId="0" fillId="0" borderId="0" xfId="0" applyAlignment="1" applyProtection="1">
      <alignment horizontal="center"/>
      <protection/>
    </xf>
    <xf numFmtId="0" fontId="0" fillId="0" borderId="1" xfId="0" applyFont="1" applyFill="1" applyBorder="1" applyAlignment="1" applyProtection="1">
      <alignment vertical="center" wrapText="1"/>
      <protection/>
    </xf>
    <xf numFmtId="0" fontId="0" fillId="0" borderId="1" xfId="0" applyBorder="1" applyAlignment="1" applyProtection="1">
      <alignment horizontal="center" vertical="center" wrapText="1"/>
      <protection/>
    </xf>
    <xf numFmtId="49" fontId="3" fillId="0" borderId="1" xfId="0" applyNumberFormat="1" applyFont="1" applyBorder="1" applyAlignment="1" applyProtection="1">
      <alignment horizontal="center" vertical="center" wrapText="1"/>
      <protection/>
    </xf>
    <xf numFmtId="0" fontId="12" fillId="0" borderId="1" xfId="0" applyFont="1" applyFill="1" applyBorder="1" applyAlignment="1" applyProtection="1">
      <alignment vertical="center" wrapText="1"/>
      <protection/>
    </xf>
    <xf numFmtId="0" fontId="12" fillId="0" borderId="1" xfId="0" applyFont="1" applyBorder="1" applyAlignment="1" applyProtection="1">
      <alignment wrapText="1"/>
      <protection/>
    </xf>
    <xf numFmtId="0" fontId="3" fillId="0" borderId="25" xfId="0" applyFont="1" applyFill="1" applyBorder="1" applyAlignment="1" applyProtection="1">
      <alignment horizontal="center" vertical="center" wrapText="1"/>
      <protection/>
    </xf>
    <xf numFmtId="0" fontId="3" fillId="0" borderId="31" xfId="0" applyFont="1" applyBorder="1" applyAlignment="1" applyProtection="1">
      <alignment horizontal="center"/>
      <protection/>
    </xf>
    <xf numFmtId="0" fontId="0" fillId="0" borderId="25" xfId="23" applyFont="1" applyBorder="1" applyAlignment="1" applyProtection="1">
      <alignment horizontal="center" vertical="center"/>
      <protection/>
    </xf>
    <xf numFmtId="0" fontId="0" fillId="0" borderId="31" xfId="0" applyFont="1" applyBorder="1" applyAlignment="1" applyProtection="1">
      <alignment horizontal="center"/>
      <protection/>
    </xf>
    <xf numFmtId="0" fontId="0" fillId="0" borderId="23" xfId="23" applyFont="1" applyBorder="1" applyAlignment="1" applyProtection="1">
      <alignment horizontal="center" vertical="center" wrapText="1"/>
      <protection/>
    </xf>
    <xf numFmtId="0" fontId="0" fillId="0" borderId="24" xfId="0" applyFont="1" applyBorder="1" applyAlignment="1" applyProtection="1">
      <alignment/>
      <protection/>
    </xf>
    <xf numFmtId="0" fontId="0" fillId="0" borderId="29" xfId="0" applyFont="1" applyBorder="1" applyAlignment="1" applyProtection="1">
      <alignment/>
      <protection/>
    </xf>
    <xf numFmtId="0" fontId="0" fillId="0" borderId="30" xfId="0" applyFont="1" applyBorder="1" applyAlignment="1" applyProtection="1">
      <alignment/>
      <protection/>
    </xf>
    <xf numFmtId="0" fontId="3" fillId="0" borderId="6" xfId="23" applyFont="1" applyBorder="1" applyAlignment="1" applyProtection="1">
      <alignment horizontal="center"/>
      <protection/>
    </xf>
    <xf numFmtId="0" fontId="3" fillId="0" borderId="33" xfId="23" applyFont="1" applyBorder="1" applyAlignment="1" applyProtection="1">
      <alignment horizontal="center"/>
      <protection/>
    </xf>
    <xf numFmtId="0" fontId="3" fillId="0" borderId="5" xfId="23" applyFont="1" applyBorder="1" applyAlignment="1" applyProtection="1">
      <alignment horizontal="center"/>
      <protection/>
    </xf>
    <xf numFmtId="0" fontId="13" fillId="0" borderId="2" xfId="0" applyFont="1" applyBorder="1" applyAlignment="1" applyProtection="1">
      <alignment horizontal="center" vertical="top"/>
      <protection/>
    </xf>
    <xf numFmtId="0" fontId="13" fillId="0" borderId="3" xfId="0" applyFont="1" applyBorder="1" applyAlignment="1" applyProtection="1">
      <alignment horizontal="center" vertical="top"/>
      <protection/>
    </xf>
    <xf numFmtId="0" fontId="0" fillId="0" borderId="3" xfId="0" applyFont="1" applyBorder="1" applyAlignment="1" applyProtection="1">
      <alignment/>
      <protection/>
    </xf>
    <xf numFmtId="0" fontId="0" fillId="0" borderId="4" xfId="0" applyFont="1" applyBorder="1" applyAlignment="1" applyProtection="1">
      <alignment/>
      <protection/>
    </xf>
    <xf numFmtId="190" fontId="13" fillId="0" borderId="2" xfId="0" applyNumberFormat="1" applyFont="1" applyBorder="1" applyAlignment="1" applyProtection="1">
      <alignment horizontal="center" vertical="top"/>
      <protection/>
    </xf>
    <xf numFmtId="190" fontId="13" fillId="0" borderId="3" xfId="0" applyNumberFormat="1" applyFont="1" applyBorder="1" applyAlignment="1" applyProtection="1">
      <alignment horizontal="center" vertical="top"/>
      <protection/>
    </xf>
    <xf numFmtId="190" fontId="0" fillId="0" borderId="3" xfId="0" applyNumberFormat="1" applyFont="1" applyBorder="1" applyAlignment="1" applyProtection="1">
      <alignment vertical="top"/>
      <protection/>
    </xf>
    <xf numFmtId="190" fontId="0" fillId="0" borderId="4" xfId="0" applyNumberFormat="1" applyFont="1" applyBorder="1" applyAlignment="1" applyProtection="1">
      <alignment vertical="top"/>
      <protection/>
    </xf>
    <xf numFmtId="190" fontId="13" fillId="2" borderId="2" xfId="0" applyNumberFormat="1" applyFont="1" applyFill="1" applyBorder="1" applyAlignment="1" applyProtection="1">
      <alignment horizontal="center" vertical="top"/>
      <protection/>
    </xf>
    <xf numFmtId="190" fontId="0" fillId="2" borderId="3" xfId="0" applyNumberFormat="1" applyFill="1" applyBorder="1" applyAlignment="1">
      <alignment/>
    </xf>
    <xf numFmtId="190" fontId="0" fillId="2" borderId="4" xfId="0" applyNumberFormat="1" applyFill="1" applyBorder="1" applyAlignment="1">
      <alignment/>
    </xf>
    <xf numFmtId="0" fontId="0" fillId="0" borderId="1" xfId="0" applyFont="1" applyBorder="1" applyAlignment="1" applyProtection="1">
      <alignment vertical="center" wrapText="1"/>
      <protection/>
    </xf>
    <xf numFmtId="0" fontId="10" fillId="0" borderId="1" xfId="0" applyFont="1" applyBorder="1" applyAlignment="1" applyProtection="1">
      <alignment vertical="center" wrapText="1"/>
      <protection/>
    </xf>
    <xf numFmtId="0" fontId="2" fillId="0" borderId="1" xfId="0" applyFont="1" applyBorder="1" applyAlignment="1" applyProtection="1">
      <alignment/>
      <protection/>
    </xf>
    <xf numFmtId="0" fontId="10" fillId="0" borderId="25" xfId="0" applyFont="1" applyBorder="1" applyAlignment="1" applyProtection="1">
      <alignment vertical="center" wrapText="1"/>
      <protection/>
    </xf>
    <xf numFmtId="0" fontId="10" fillId="0" borderId="31" xfId="0" applyFont="1" applyBorder="1" applyAlignment="1" applyProtection="1">
      <alignment vertical="center" wrapText="1"/>
      <protection/>
    </xf>
    <xf numFmtId="0" fontId="10" fillId="0" borderId="75" xfId="0" applyFont="1" applyBorder="1" applyAlignment="1" applyProtection="1">
      <alignment vertical="center" wrapText="1"/>
      <protection/>
    </xf>
    <xf numFmtId="0" fontId="10" fillId="0" borderId="28" xfId="0" applyFont="1" applyBorder="1" applyAlignment="1" applyProtection="1">
      <alignment vertical="center" wrapText="1"/>
      <protection/>
    </xf>
    <xf numFmtId="0" fontId="0" fillId="0" borderId="74" xfId="0" applyFont="1" applyBorder="1" applyAlignment="1" applyProtection="1">
      <alignment vertical="center" wrapText="1"/>
      <protection/>
    </xf>
    <xf numFmtId="0" fontId="0" fillId="0" borderId="42" xfId="0" applyFont="1" applyBorder="1" applyAlignment="1" applyProtection="1">
      <alignment vertical="center" wrapText="1"/>
      <protection/>
    </xf>
    <xf numFmtId="0" fontId="0" fillId="0" borderId="63" xfId="0" applyFont="1" applyBorder="1" applyAlignment="1" applyProtection="1">
      <alignment vertical="center" wrapText="1"/>
      <protection/>
    </xf>
    <xf numFmtId="0" fontId="0" fillId="0" borderId="74" xfId="0" applyFont="1" applyBorder="1" applyAlignment="1" applyProtection="1">
      <alignment vertical="center" wrapText="1"/>
      <protection/>
    </xf>
    <xf numFmtId="0" fontId="0" fillId="0" borderId="42" xfId="0" applyFont="1" applyBorder="1" applyAlignment="1" applyProtection="1">
      <alignment vertical="center" wrapText="1"/>
      <protection/>
    </xf>
    <xf numFmtId="0" fontId="2" fillId="0" borderId="87" xfId="0" applyFont="1" applyBorder="1" applyAlignment="1" applyProtection="1">
      <alignment/>
      <protection/>
    </xf>
    <xf numFmtId="0" fontId="2" fillId="0" borderId="21" xfId="0" applyFont="1" applyBorder="1" applyAlignment="1" applyProtection="1">
      <alignment/>
      <protection/>
    </xf>
    <xf numFmtId="0" fontId="2" fillId="0" borderId="73" xfId="0" applyFont="1" applyBorder="1" applyAlignment="1" applyProtection="1">
      <alignment/>
      <protection/>
    </xf>
    <xf numFmtId="0" fontId="2" fillId="0" borderId="71" xfId="0" applyFont="1" applyBorder="1" applyAlignment="1" applyProtection="1">
      <alignment/>
      <protection/>
    </xf>
    <xf numFmtId="0" fontId="2" fillId="0" borderId="0" xfId="0" applyFont="1" applyBorder="1" applyAlignment="1" applyProtection="1">
      <alignment/>
      <protection/>
    </xf>
    <xf numFmtId="0" fontId="2" fillId="0" borderId="27" xfId="0" applyFont="1" applyBorder="1" applyAlignment="1" applyProtection="1">
      <alignment/>
      <protection/>
    </xf>
    <xf numFmtId="0" fontId="2" fillId="0" borderId="77" xfId="0" applyFont="1" applyBorder="1" applyAlignment="1" applyProtection="1">
      <alignment/>
      <protection/>
    </xf>
    <xf numFmtId="0" fontId="2" fillId="0" borderId="88" xfId="0" applyFont="1" applyBorder="1" applyAlignment="1" applyProtection="1">
      <alignment/>
      <protection/>
    </xf>
    <xf numFmtId="0" fontId="2" fillId="0" borderId="79" xfId="0" applyFont="1" applyBorder="1" applyAlignment="1" applyProtection="1">
      <alignment/>
      <protection/>
    </xf>
    <xf numFmtId="0" fontId="0" fillId="0" borderId="63" xfId="0" applyFont="1" applyBorder="1" applyAlignment="1" applyProtection="1">
      <alignment vertical="center" wrapText="1"/>
      <protection/>
    </xf>
    <xf numFmtId="0" fontId="3" fillId="0" borderId="25" xfId="0" applyFont="1" applyBorder="1" applyAlignment="1" applyProtection="1">
      <alignment horizontal="center" vertical="center"/>
      <protection/>
    </xf>
    <xf numFmtId="0" fontId="0" fillId="0" borderId="67" xfId="0" applyBorder="1" applyAlignment="1" applyProtection="1">
      <alignment horizontal="center" vertical="center"/>
      <protection/>
    </xf>
    <xf numFmtId="0" fontId="3" fillId="0" borderId="1" xfId="0" applyFont="1" applyBorder="1" applyAlignment="1" applyProtection="1">
      <alignment horizontal="center" vertical="center"/>
      <protection/>
    </xf>
    <xf numFmtId="0" fontId="0" fillId="0" borderId="1" xfId="0" applyBorder="1" applyAlignment="1" applyProtection="1">
      <alignment horizontal="center" vertical="center"/>
      <protection/>
    </xf>
    <xf numFmtId="0" fontId="3" fillId="0" borderId="89" xfId="0" applyFont="1" applyBorder="1" applyAlignment="1" applyProtection="1">
      <alignment horizontal="center" vertical="center"/>
      <protection/>
    </xf>
    <xf numFmtId="0" fontId="0" fillId="0" borderId="73" xfId="0" applyBorder="1" applyAlignment="1" applyProtection="1">
      <alignment horizontal="center" vertical="center"/>
      <protection/>
    </xf>
    <xf numFmtId="0" fontId="0" fillId="0" borderId="29" xfId="0" applyBorder="1" applyAlignment="1" applyProtection="1">
      <alignment horizontal="center" vertical="center"/>
      <protection/>
    </xf>
    <xf numFmtId="0" fontId="0" fillId="0" borderId="30" xfId="0"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32" xfId="0"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80" xfId="0" applyBorder="1" applyAlignment="1" applyProtection="1">
      <alignment horizontal="center" vertical="center"/>
      <protection/>
    </xf>
    <xf numFmtId="0" fontId="10" fillId="3" borderId="1" xfId="0" applyFont="1" applyFill="1" applyBorder="1" applyAlignment="1" applyProtection="1">
      <alignment vertical="center" wrapText="1"/>
      <protection locked="0"/>
    </xf>
    <xf numFmtId="0" fontId="10" fillId="0" borderId="1" xfId="0" applyFont="1" applyBorder="1" applyAlignment="1" applyProtection="1">
      <alignment horizontal="center" vertical="center" wrapText="1"/>
      <protection/>
    </xf>
    <xf numFmtId="0" fontId="10" fillId="0" borderId="23" xfId="0" applyFont="1" applyBorder="1" applyAlignment="1" applyProtection="1">
      <alignment horizontal="center" vertical="center" wrapText="1"/>
      <protection/>
    </xf>
    <xf numFmtId="0" fontId="10" fillId="0" borderId="32" xfId="0" applyFont="1" applyBorder="1" applyAlignment="1" applyProtection="1">
      <alignment horizontal="center" vertical="center" wrapText="1"/>
      <protection/>
    </xf>
    <xf numFmtId="0" fontId="10" fillId="0" borderId="24" xfId="0" applyFont="1" applyBorder="1" applyAlignment="1" applyProtection="1">
      <alignment horizontal="center" vertical="center" wrapText="1"/>
      <protection/>
    </xf>
    <xf numFmtId="0" fontId="0" fillId="0" borderId="6" xfId="0" applyFont="1" applyFill="1" applyBorder="1" applyAlignment="1" applyProtection="1">
      <alignment vertical="center" wrapText="1"/>
      <protection/>
    </xf>
    <xf numFmtId="0" fontId="0" fillId="0" borderId="33" xfId="0" applyFont="1" applyFill="1" applyBorder="1" applyAlignment="1" applyProtection="1">
      <alignment vertical="center" wrapText="1"/>
      <protection/>
    </xf>
    <xf numFmtId="0" fontId="0" fillId="0" borderId="5" xfId="0" applyBorder="1" applyAlignment="1" applyProtection="1">
      <alignment vertical="center" wrapText="1"/>
      <protection/>
    </xf>
    <xf numFmtId="0" fontId="10" fillId="2" borderId="1" xfId="0" applyFont="1" applyFill="1" applyBorder="1" applyAlignment="1" applyProtection="1">
      <alignment vertical="center" wrapText="1"/>
      <protection/>
    </xf>
    <xf numFmtId="0" fontId="0" fillId="0" borderId="6" xfId="0" applyFont="1" applyFill="1" applyBorder="1" applyAlignment="1" applyProtection="1">
      <alignment horizontal="center" vertical="center" wrapText="1"/>
      <protection/>
    </xf>
    <xf numFmtId="0" fontId="0" fillId="0" borderId="33" xfId="0" applyFont="1" applyBorder="1" applyAlignment="1" applyProtection="1">
      <alignment horizontal="center" vertical="center"/>
      <protection/>
    </xf>
    <xf numFmtId="0" fontId="0" fillId="0" borderId="5" xfId="0" applyFont="1" applyBorder="1" applyAlignment="1" applyProtection="1">
      <alignment horizontal="center" vertical="center"/>
      <protection/>
    </xf>
    <xf numFmtId="203" fontId="0" fillId="2" borderId="6" xfId="0" applyNumberFormat="1" applyFont="1" applyFill="1" applyBorder="1" applyAlignment="1" applyProtection="1">
      <alignment vertical="top"/>
      <protection/>
    </xf>
    <xf numFmtId="203" fontId="0" fillId="2" borderId="5" xfId="0" applyNumberFormat="1" applyFill="1" applyBorder="1" applyAlignment="1" applyProtection="1">
      <alignment vertical="top"/>
      <protection/>
    </xf>
    <xf numFmtId="202" fontId="0" fillId="0" borderId="6" xfId="0" applyNumberFormat="1" applyFont="1" applyFill="1" applyBorder="1" applyAlignment="1" applyProtection="1">
      <alignment vertical="top"/>
      <protection/>
    </xf>
    <xf numFmtId="202" fontId="0" fillId="0" borderId="5" xfId="0" applyNumberFormat="1" applyBorder="1" applyAlignment="1" applyProtection="1">
      <alignment vertical="top"/>
      <protection/>
    </xf>
    <xf numFmtId="203" fontId="0" fillId="0" borderId="6" xfId="0" applyNumberFormat="1" applyFont="1" applyFill="1" applyBorder="1" applyAlignment="1" applyProtection="1">
      <alignment vertical="top"/>
      <protection/>
    </xf>
    <xf numFmtId="203" fontId="0" fillId="0" borderId="5" xfId="0" applyNumberFormat="1" applyBorder="1" applyAlignment="1" applyProtection="1">
      <alignment vertical="top"/>
      <protection/>
    </xf>
    <xf numFmtId="203" fontId="0" fillId="0" borderId="6" xfId="0" applyNumberFormat="1" applyFont="1" applyBorder="1" applyAlignment="1" applyProtection="1">
      <alignment vertical="top"/>
      <protection/>
    </xf>
    <xf numFmtId="0" fontId="0" fillId="0" borderId="6" xfId="0" applyFont="1" applyBorder="1" applyAlignment="1" applyProtection="1">
      <alignment horizontal="center" vertical="top"/>
      <protection/>
    </xf>
    <xf numFmtId="0" fontId="0" fillId="0" borderId="5" xfId="0" applyFont="1" applyBorder="1" applyAlignment="1" applyProtection="1">
      <alignment horizontal="center"/>
      <protection/>
    </xf>
    <xf numFmtId="0" fontId="0" fillId="0" borderId="1" xfId="0" applyFont="1" applyBorder="1" applyAlignment="1" applyProtection="1">
      <alignment horizontal="center" vertical="top"/>
      <protection/>
    </xf>
    <xf numFmtId="202" fontId="0" fillId="2" borderId="6" xfId="0" applyNumberFormat="1" applyFont="1" applyFill="1" applyBorder="1" applyAlignment="1" applyProtection="1">
      <alignment vertical="top"/>
      <protection/>
    </xf>
    <xf numFmtId="202" fontId="0" fillId="2" borderId="5" xfId="0" applyNumberFormat="1" applyFill="1" applyBorder="1" applyAlignment="1" applyProtection="1">
      <alignment vertical="top"/>
      <protection/>
    </xf>
    <xf numFmtId="0" fontId="0" fillId="0" borderId="33" xfId="0" applyFont="1" applyFill="1" applyBorder="1" applyAlignment="1" applyProtection="1">
      <alignment horizontal="center" vertical="center" wrapText="1"/>
      <protection/>
    </xf>
    <xf numFmtId="0" fontId="0" fillId="0" borderId="5" xfId="0" applyFont="1" applyFill="1" applyBorder="1" applyAlignment="1" applyProtection="1">
      <alignment horizontal="center" vertical="center" wrapText="1"/>
      <protection/>
    </xf>
    <xf numFmtId="190" fontId="13" fillId="0" borderId="2" xfId="0" applyNumberFormat="1" applyFont="1" applyFill="1" applyBorder="1" applyAlignment="1" applyProtection="1">
      <alignment horizontal="center" vertical="top" shrinkToFit="1"/>
      <protection/>
    </xf>
    <xf numFmtId="190" fontId="0" fillId="0" borderId="3" xfId="0" applyNumberFormat="1" applyBorder="1" applyAlignment="1" applyProtection="1">
      <alignment horizontal="center" vertical="top" shrinkToFit="1"/>
      <protection/>
    </xf>
    <xf numFmtId="190" fontId="0" fillId="0" borderId="4" xfId="0" applyNumberFormat="1" applyBorder="1" applyAlignment="1" applyProtection="1">
      <alignment horizontal="center" vertical="top" shrinkToFit="1"/>
      <protection/>
    </xf>
    <xf numFmtId="190" fontId="0" fillId="0" borderId="6" xfId="0" applyNumberFormat="1" applyFont="1" applyBorder="1" applyAlignment="1" applyProtection="1">
      <alignment horizontal="center" vertical="top"/>
      <protection/>
    </xf>
    <xf numFmtId="190" fontId="0" fillId="0" borderId="33" xfId="0" applyNumberFormat="1" applyFont="1" applyBorder="1" applyAlignment="1" applyProtection="1">
      <alignment vertical="top"/>
      <protection/>
    </xf>
    <xf numFmtId="190" fontId="0" fillId="0" borderId="5" xfId="0" applyNumberFormat="1" applyFont="1" applyBorder="1" applyAlignment="1" applyProtection="1">
      <alignment vertical="top"/>
      <protection/>
    </xf>
    <xf numFmtId="190" fontId="0" fillId="2" borderId="6" xfId="0" applyNumberFormat="1" applyFont="1" applyFill="1" applyBorder="1" applyAlignment="1" applyProtection="1">
      <alignment horizontal="center" vertical="top"/>
      <protection/>
    </xf>
    <xf numFmtId="190" fontId="0" fillId="2" borderId="33" xfId="0" applyNumberFormat="1" applyFont="1" applyFill="1" applyBorder="1" applyAlignment="1" applyProtection="1">
      <alignment vertical="top"/>
      <protection/>
    </xf>
    <xf numFmtId="190" fontId="0" fillId="2" borderId="5" xfId="0" applyNumberFormat="1" applyFont="1" applyFill="1" applyBorder="1" applyAlignment="1" applyProtection="1">
      <alignment vertical="top"/>
      <protection/>
    </xf>
    <xf numFmtId="190" fontId="13" fillId="2" borderId="2" xfId="0" applyNumberFormat="1" applyFont="1" applyFill="1" applyBorder="1" applyAlignment="1" applyProtection="1">
      <alignment horizontal="center" vertical="top" shrinkToFit="1"/>
      <protection/>
    </xf>
    <xf numFmtId="190" fontId="0" fillId="2" borderId="3" xfId="0" applyNumberFormat="1" applyFill="1" applyBorder="1" applyAlignment="1" applyProtection="1">
      <alignment horizontal="center" vertical="top" shrinkToFit="1"/>
      <protection/>
    </xf>
    <xf numFmtId="190" fontId="0" fillId="2" borderId="4" xfId="0" applyNumberFormat="1" applyFill="1" applyBorder="1" applyAlignment="1" applyProtection="1">
      <alignment horizontal="center" vertical="top" shrinkToFit="1"/>
      <protection/>
    </xf>
    <xf numFmtId="0" fontId="0" fillId="0" borderId="5" xfId="0" applyBorder="1" applyAlignment="1" applyProtection="1">
      <alignment horizontal="center"/>
      <protection/>
    </xf>
    <xf numFmtId="0" fontId="13" fillId="0" borderId="2" xfId="0" applyFont="1" applyFill="1" applyBorder="1" applyAlignment="1" applyProtection="1">
      <alignment horizontal="center" vertical="center"/>
      <protection/>
    </xf>
    <xf numFmtId="0" fontId="0" fillId="0" borderId="3" xfId="0" applyBorder="1" applyAlignment="1" applyProtection="1">
      <alignment horizontal="center" vertical="center"/>
      <protection/>
    </xf>
    <xf numFmtId="0" fontId="0" fillId="0" borderId="4" xfId="0" applyBorder="1" applyAlignment="1" applyProtection="1">
      <alignment horizontal="center" vertical="center"/>
      <protection/>
    </xf>
    <xf numFmtId="0" fontId="0" fillId="0" borderId="6" xfId="0" applyFont="1" applyBorder="1" applyAlignment="1" applyProtection="1">
      <alignment vertical="top"/>
      <protection/>
    </xf>
    <xf numFmtId="0" fontId="0" fillId="0" borderId="33" xfId="0" applyFont="1" applyBorder="1" applyAlignment="1" applyProtection="1">
      <alignment vertical="top"/>
      <protection/>
    </xf>
    <xf numFmtId="0" fontId="0" fillId="0" borderId="5" xfId="0" applyFont="1" applyBorder="1" applyAlignment="1" applyProtection="1">
      <alignment vertical="top"/>
      <protection/>
    </xf>
    <xf numFmtId="202" fontId="0" fillId="2" borderId="5" xfId="0" applyNumberFormat="1" applyFont="1" applyFill="1" applyBorder="1" applyAlignment="1" applyProtection="1">
      <alignment vertical="top"/>
      <protection/>
    </xf>
    <xf numFmtId="202" fontId="0" fillId="0" borderId="6" xfId="0" applyNumberFormat="1" applyFont="1" applyBorder="1" applyAlignment="1" applyProtection="1">
      <alignment vertical="top"/>
      <protection/>
    </xf>
    <xf numFmtId="0" fontId="0" fillId="0" borderId="33" xfId="0" applyFill="1" applyBorder="1" applyAlignment="1" applyProtection="1">
      <alignment vertical="center" wrapText="1"/>
      <protection/>
    </xf>
    <xf numFmtId="0" fontId="0" fillId="0" borderId="23" xfId="0" applyFont="1" applyFill="1" applyBorder="1" applyAlignment="1" applyProtection="1">
      <alignment horizontal="center" vertical="center" wrapText="1"/>
      <protection/>
    </xf>
    <xf numFmtId="0" fontId="0" fillId="0" borderId="32" xfId="0" applyBorder="1" applyAlignment="1" applyProtection="1">
      <alignment horizontal="center" vertical="center" wrapText="1"/>
      <protection/>
    </xf>
    <xf numFmtId="0" fontId="0" fillId="0" borderId="1" xfId="0" applyFill="1" applyBorder="1" applyAlignment="1" applyProtection="1">
      <alignment horizontal="center" vertical="center" wrapText="1"/>
      <protection/>
    </xf>
    <xf numFmtId="0" fontId="0" fillId="0" borderId="6" xfId="0" applyFont="1" applyBorder="1" applyAlignment="1" applyProtection="1">
      <alignment vertical="center"/>
      <protection/>
    </xf>
    <xf numFmtId="0" fontId="0" fillId="0" borderId="33" xfId="0" applyBorder="1" applyAlignment="1" applyProtection="1">
      <alignment/>
      <protection/>
    </xf>
    <xf numFmtId="0" fontId="0" fillId="0" borderId="5" xfId="0" applyBorder="1" applyAlignment="1" applyProtection="1">
      <alignment/>
      <protection/>
    </xf>
    <xf numFmtId="0" fontId="0" fillId="0" borderId="6" xfId="0" applyBorder="1" applyAlignment="1" applyProtection="1">
      <alignment/>
      <protection/>
    </xf>
    <xf numFmtId="205" fontId="0" fillId="2" borderId="6" xfId="0" applyNumberFormat="1" applyFill="1" applyBorder="1" applyAlignment="1" applyProtection="1">
      <alignment/>
      <protection/>
    </xf>
    <xf numFmtId="205" fontId="0" fillId="2" borderId="33" xfId="0" applyNumberFormat="1" applyFill="1" applyBorder="1" applyAlignment="1" applyProtection="1">
      <alignment/>
      <protection/>
    </xf>
    <xf numFmtId="205" fontId="0" fillId="2" borderId="6" xfId="0" applyNumberFormat="1" applyFont="1" applyFill="1" applyBorder="1" applyAlignment="1" applyProtection="1">
      <alignment horizontal="right" vertical="center"/>
      <protection/>
    </xf>
    <xf numFmtId="205" fontId="0" fillId="2" borderId="33" xfId="0" applyNumberFormat="1" applyFill="1" applyBorder="1" applyAlignment="1" applyProtection="1">
      <alignment horizontal="right" vertical="center"/>
      <protection/>
    </xf>
    <xf numFmtId="205" fontId="0" fillId="0" borderId="6" xfId="0" applyNumberFormat="1" applyBorder="1" applyAlignment="1" applyProtection="1">
      <alignment vertical="center"/>
      <protection/>
    </xf>
    <xf numFmtId="205" fontId="0" fillId="0" borderId="33" xfId="0" applyNumberFormat="1" applyBorder="1" applyAlignment="1" applyProtection="1">
      <alignment vertical="center"/>
      <protection/>
    </xf>
    <xf numFmtId="205" fontId="0" fillId="0" borderId="6" xfId="0" applyNumberFormat="1" applyFill="1" applyBorder="1" applyAlignment="1" applyProtection="1">
      <alignment vertical="center"/>
      <protection/>
    </xf>
    <xf numFmtId="205" fontId="0" fillId="0" borderId="33" xfId="0" applyNumberFormat="1" applyBorder="1" applyAlignment="1" applyProtection="1">
      <alignment/>
      <protection/>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201" fontId="2" fillId="5" borderId="1" xfId="0" applyNumberFormat="1" applyFont="1" applyFill="1" applyBorder="1" applyAlignment="1" applyProtection="1">
      <alignment shrinkToFit="1"/>
      <protection/>
    </xf>
  </cellXfs>
  <cellStyles count="11">
    <cellStyle name="Normal" xfId="0"/>
    <cellStyle name="Percent" xfId="15"/>
    <cellStyle name="Hyperlink" xfId="16"/>
    <cellStyle name="Comma [0]" xfId="17"/>
    <cellStyle name="Comma" xfId="18"/>
    <cellStyle name="Currency [0]" xfId="19"/>
    <cellStyle name="Currency" xfId="20"/>
    <cellStyle name="標準_Sheet1" xfId="21"/>
    <cellStyle name="標準_yoshiki4" xfId="22"/>
    <cellStyle name="標準_計画書様式(窪田作業中)" xfId="23"/>
    <cellStyle name="Followed Hyperlink" xfId="24"/>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16</xdr:row>
      <xdr:rowOff>104775</xdr:rowOff>
    </xdr:from>
    <xdr:to>
      <xdr:col>8</xdr:col>
      <xdr:colOff>542925</xdr:colOff>
      <xdr:row>37</xdr:row>
      <xdr:rowOff>142875</xdr:rowOff>
    </xdr:to>
    <xdr:sp>
      <xdr:nvSpPr>
        <xdr:cNvPr id="1" name="TextBox 1"/>
        <xdr:cNvSpPr txBox="1">
          <a:spLocks noChangeArrowheads="1"/>
        </xdr:cNvSpPr>
      </xdr:nvSpPr>
      <xdr:spPr>
        <a:xfrm>
          <a:off x="238125" y="3714750"/>
          <a:ext cx="304800" cy="4648200"/>
        </a:xfrm>
        <a:prstGeom prst="rect">
          <a:avLst/>
        </a:prstGeom>
        <a:noFill/>
        <a:ln w="9525" cmpd="sng">
          <a:noFill/>
        </a:ln>
      </xdr:spPr>
      <xdr:txBody>
        <a:bodyPr vertOverflow="clip" wrap="square" vert="wordArtVertRtl"/>
        <a:p>
          <a:pPr algn="ctr">
            <a:defRPr/>
          </a:pPr>
          <a:r>
            <a:rPr lang="en-US" cap="none" sz="1600" b="0" i="0" u="none" baseline="0">
              <a:latin typeface="ＭＳ Ｐゴシック"/>
              <a:ea typeface="ＭＳ Ｐゴシック"/>
              <a:cs typeface="ＭＳ Ｐゴシック"/>
            </a:rPr>
            <a:t>トラック・バス</a:t>
          </a:r>
        </a:p>
      </xdr:txBody>
    </xdr:sp>
    <xdr:clientData/>
  </xdr:twoCellAnchor>
  <xdr:twoCellAnchor>
    <xdr:from>
      <xdr:col>8</xdr:col>
      <xdr:colOff>333375</xdr:colOff>
      <xdr:row>42</xdr:row>
      <xdr:rowOff>0</xdr:rowOff>
    </xdr:from>
    <xdr:to>
      <xdr:col>9</xdr:col>
      <xdr:colOff>800100</xdr:colOff>
      <xdr:row>46</xdr:row>
      <xdr:rowOff>85725</xdr:rowOff>
    </xdr:to>
    <xdr:sp>
      <xdr:nvSpPr>
        <xdr:cNvPr id="2" name="TextBox 2"/>
        <xdr:cNvSpPr txBox="1">
          <a:spLocks noChangeArrowheads="1"/>
        </xdr:cNvSpPr>
      </xdr:nvSpPr>
      <xdr:spPr>
        <a:xfrm>
          <a:off x="333375" y="9324975"/>
          <a:ext cx="1114425" cy="971550"/>
        </a:xfrm>
        <a:prstGeom prst="rect">
          <a:avLst/>
        </a:prstGeom>
        <a:noFill/>
        <a:ln w="9525" cmpd="sng">
          <a:noFill/>
        </a:ln>
      </xdr:spPr>
      <xdr:txBody>
        <a:bodyPr vertOverflow="clip" wrap="square"/>
        <a:p>
          <a:pPr algn="l">
            <a:defRPr/>
          </a:pPr>
          <a:r>
            <a:rPr lang="en-US" cap="none" sz="1600" b="0" i="0" u="none" baseline="0">
              <a:latin typeface="ＭＳ Ｐゴシック"/>
              <a:ea typeface="ＭＳ Ｐゴシック"/>
              <a:cs typeface="ＭＳ Ｐゴシック"/>
            </a:rPr>
            <a:t>乗用車</a:t>
          </a:r>
        </a:p>
      </xdr:txBody>
    </xdr:sp>
    <xdr:clientData/>
  </xdr:twoCellAnchor>
  <xdr:twoCellAnchor>
    <xdr:from>
      <xdr:col>15</xdr:col>
      <xdr:colOff>200025</xdr:colOff>
      <xdr:row>11</xdr:row>
      <xdr:rowOff>38100</xdr:rowOff>
    </xdr:from>
    <xdr:to>
      <xdr:col>15</xdr:col>
      <xdr:colOff>504825</xdr:colOff>
      <xdr:row>29</xdr:row>
      <xdr:rowOff>85725</xdr:rowOff>
    </xdr:to>
    <xdr:sp>
      <xdr:nvSpPr>
        <xdr:cNvPr id="3" name="TextBox 3"/>
        <xdr:cNvSpPr txBox="1">
          <a:spLocks noChangeArrowheads="1"/>
        </xdr:cNvSpPr>
      </xdr:nvSpPr>
      <xdr:spPr>
        <a:xfrm>
          <a:off x="6000750" y="2552700"/>
          <a:ext cx="304800" cy="3990975"/>
        </a:xfrm>
        <a:prstGeom prst="rect">
          <a:avLst/>
        </a:prstGeom>
        <a:noFill/>
        <a:ln w="9525" cmpd="sng">
          <a:noFill/>
        </a:ln>
      </xdr:spPr>
      <xdr:txBody>
        <a:bodyPr vertOverflow="clip" wrap="square" vert="wordArtVertRtl"/>
        <a:p>
          <a:pPr algn="ctr">
            <a:defRPr/>
          </a:pPr>
          <a:r>
            <a:rPr lang="en-US" cap="none" sz="1600" b="0" i="0" u="none" baseline="0">
              <a:latin typeface="ＭＳ Ｐゴシック"/>
              <a:ea typeface="ＭＳ Ｐゴシック"/>
              <a:cs typeface="ＭＳ Ｐゴシック"/>
            </a:rPr>
            <a:t>トラック・バス</a:t>
          </a:r>
        </a:p>
      </xdr:txBody>
    </xdr:sp>
    <xdr:clientData/>
  </xdr:twoCellAnchor>
  <xdr:twoCellAnchor>
    <xdr:from>
      <xdr:col>15</xdr:col>
      <xdr:colOff>342900</xdr:colOff>
      <xdr:row>37</xdr:row>
      <xdr:rowOff>114300</xdr:rowOff>
    </xdr:from>
    <xdr:to>
      <xdr:col>16</xdr:col>
      <xdr:colOff>809625</xdr:colOff>
      <xdr:row>41</xdr:row>
      <xdr:rowOff>200025</xdr:rowOff>
    </xdr:to>
    <xdr:sp>
      <xdr:nvSpPr>
        <xdr:cNvPr id="4" name="TextBox 4"/>
        <xdr:cNvSpPr txBox="1">
          <a:spLocks noChangeArrowheads="1"/>
        </xdr:cNvSpPr>
      </xdr:nvSpPr>
      <xdr:spPr>
        <a:xfrm>
          <a:off x="6143625" y="8334375"/>
          <a:ext cx="1104900" cy="971550"/>
        </a:xfrm>
        <a:prstGeom prst="rect">
          <a:avLst/>
        </a:prstGeom>
        <a:noFill/>
        <a:ln w="9525" cmpd="sng">
          <a:noFill/>
        </a:ln>
      </xdr:spPr>
      <xdr:txBody>
        <a:bodyPr vertOverflow="clip" wrap="square"/>
        <a:p>
          <a:pPr algn="l">
            <a:defRPr/>
          </a:pPr>
          <a:r>
            <a:rPr lang="en-US" cap="none" sz="1600" b="0" i="0" u="none" baseline="0">
              <a:latin typeface="ＭＳ Ｐゴシック"/>
              <a:ea typeface="ＭＳ Ｐゴシック"/>
              <a:cs typeface="ＭＳ Ｐゴシック"/>
            </a:rPr>
            <a:t>乗用車</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T143\&#33258;&#21205;&#36554;\Documents%20and%20Settings\KubotaTs\&#12487;&#12473;&#12463;&#12488;&#12483;&#12503;\&#23455;&#32318;&#22577;&#21578;&#26360;&#12510;&#12491;&#12517;&#12450;&#12523;\keisanshee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T143\&#33258;&#21205;&#36554;\Documents%20and%20Settings\KubotaTs\&#12487;&#12473;&#12463;&#12488;&#12483;&#12503;\&#23455;&#32318;&#22577;&#21578;&#26360;&#12510;&#12491;&#12517;&#12450;&#12523;\&#21407;&#31295;\&#35336;&#30011;&#26360;&#27096;&#24335;(&#21360;&#21047;&#21407;&#31295;&#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T143\&#33258;&#21205;&#36554;\Documents%20and%20Settings\KubotaTs\&#12487;&#12473;&#12463;&#12488;&#12483;&#12503;\&#23455;&#32318;&#22577;&#21578;&#26360;&#12510;&#12491;&#12517;&#12450;&#12523;\&#35352;&#20837;&#35201;&#38936;&#12398;&#124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導入割合計算シート"/>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様式1"/>
      <sheetName val="様式2"/>
      <sheetName val="様式3"/>
      <sheetName val="様式4"/>
      <sheetName val="様式5"/>
      <sheetName val="様式6"/>
      <sheetName val="様式7"/>
      <sheetName val="様式8"/>
      <sheetName val="8"/>
      <sheetName val="12"/>
      <sheetName val="2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記入要領(1)"/>
      <sheetName val="記入要領(2)"/>
      <sheetName val="記入要領(3)"/>
      <sheetName val="記入要領(4)"/>
      <sheetName val="記入要領(5)"/>
      <sheetName val="記入要領(6)"/>
      <sheetName val="記入要領(7)"/>
      <sheetName val="記入要領(計算2)"/>
      <sheetName val="記入要領(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Q373"/>
  <sheetViews>
    <sheetView workbookViewId="0" topLeftCell="A1">
      <pane ySplit="4" topLeftCell="BM243" activePane="bottomLeft" state="frozen"/>
      <selection pane="topLeft" activeCell="C1" sqref="C1"/>
      <selection pane="bottomLeft" activeCell="O377" sqref="O377"/>
    </sheetView>
  </sheetViews>
  <sheetFormatPr defaultColWidth="9.00390625" defaultRowHeight="13.5"/>
  <cols>
    <col min="1" max="1" width="6.25390625" style="112" hidden="1" customWidth="1"/>
    <col min="2" max="2" width="4.875" style="112" hidden="1" customWidth="1"/>
    <col min="3" max="4" width="4.125" style="112" customWidth="1"/>
    <col min="5" max="5" width="5.625" style="112" customWidth="1"/>
    <col min="6" max="6" width="18.25390625" style="112" customWidth="1"/>
    <col min="7" max="7" width="12.75390625" style="114" customWidth="1"/>
    <col min="8" max="8" width="3.00390625" style="114" customWidth="1"/>
    <col min="9" max="9" width="5.375" style="112" customWidth="1"/>
    <col min="10" max="10" width="18.125" style="112" customWidth="1"/>
    <col min="11" max="11" width="13.875" style="112" customWidth="1"/>
    <col min="12" max="12" width="4.50390625" style="112" customWidth="1"/>
    <col min="13" max="14" width="3.75390625" style="112" customWidth="1"/>
    <col min="15" max="15" width="6.375" style="112" customWidth="1"/>
    <col min="16" max="16" width="6.25390625" style="112" customWidth="1"/>
    <col min="17" max="18" width="6.125" style="112" customWidth="1"/>
    <col min="19" max="19" width="7.00390625" style="112" customWidth="1"/>
    <col min="20" max="20" width="4.00390625" style="112" customWidth="1"/>
    <col min="21" max="21" width="7.00390625" style="112" customWidth="1"/>
    <col min="22" max="22" width="4.00390625" style="112" customWidth="1"/>
    <col min="23" max="23" width="7.00390625" style="112" customWidth="1"/>
    <col min="24" max="24" width="4.00390625" style="112" customWidth="1"/>
    <col min="25" max="25" width="7.00390625" style="112" customWidth="1"/>
    <col min="26" max="26" width="4.00390625" style="112" customWidth="1"/>
    <col min="27" max="27" width="3.50390625" style="112" customWidth="1"/>
    <col min="28" max="32" width="6.125" style="112" hidden="1" customWidth="1"/>
    <col min="33" max="42" width="3.50390625" style="112" hidden="1" customWidth="1"/>
    <col min="43" max="44" width="3.75390625" style="112" hidden="1" customWidth="1"/>
    <col min="45" max="45" width="4.625" style="112" hidden="1" customWidth="1"/>
    <col min="46" max="47" width="4.125" style="112" hidden="1" customWidth="1"/>
    <col min="48" max="48" width="4.25390625" style="112" hidden="1" customWidth="1"/>
    <col min="49" max="49" width="3.75390625" style="112" hidden="1" customWidth="1"/>
    <col min="50" max="50" width="4.625" style="112" hidden="1" customWidth="1"/>
    <col min="51" max="51" width="7.50390625" style="112" hidden="1" customWidth="1"/>
    <col min="52" max="52" width="5.00390625" style="112" hidden="1" customWidth="1"/>
    <col min="53" max="53" width="4.75390625" style="112" hidden="1" customWidth="1"/>
    <col min="54" max="54" width="5.00390625" style="112" hidden="1" customWidth="1"/>
    <col min="55" max="56" width="4.75390625" style="112" hidden="1" customWidth="1"/>
    <col min="57" max="57" width="5.50390625" style="112" hidden="1" customWidth="1"/>
    <col min="58" max="59" width="5.75390625" style="112" hidden="1" customWidth="1"/>
    <col min="60" max="61" width="8.00390625" style="112" hidden="1" customWidth="1"/>
    <col min="62" max="62" width="5.125" style="112" hidden="1" customWidth="1"/>
    <col min="63" max="63" width="7.25390625" style="112" hidden="1" customWidth="1"/>
    <col min="64" max="64" width="5.375" style="112" customWidth="1"/>
    <col min="65" max="65" width="5.00390625" style="112" customWidth="1"/>
    <col min="66" max="66" width="10.125" style="112" customWidth="1"/>
    <col min="67" max="16384" width="9.00390625" style="112" customWidth="1"/>
  </cols>
  <sheetData>
    <row r="1" spans="3:42" ht="13.5">
      <c r="C1" s="132" t="s">
        <v>305</v>
      </c>
      <c r="F1" s="249" t="s">
        <v>283</v>
      </c>
      <c r="O1" s="246">
        <f>IF(COUNTIF($O$5:$P$304,"要確認"),"※排出係数に「要確認」が表示されています","")</f>
      </c>
      <c r="T1" s="130"/>
      <c r="V1" s="130"/>
      <c r="W1" s="130"/>
      <c r="X1" s="130"/>
      <c r="Y1" s="130"/>
      <c r="Z1" s="130"/>
      <c r="AD1" s="130"/>
      <c r="AE1" s="130"/>
      <c r="AF1" s="130"/>
      <c r="AG1" s="130"/>
      <c r="AH1" s="130"/>
      <c r="AI1" s="130"/>
      <c r="AJ1" s="130"/>
      <c r="AK1" s="130"/>
      <c r="AL1" s="130"/>
      <c r="AM1" s="130"/>
      <c r="AN1" s="130"/>
      <c r="AO1" s="130"/>
      <c r="AP1" s="130"/>
    </row>
    <row r="2" spans="3:42" ht="13.5">
      <c r="C2" s="132"/>
      <c r="F2" s="247"/>
      <c r="R2" s="130"/>
      <c r="S2" s="130"/>
      <c r="T2" s="130"/>
      <c r="V2" s="130"/>
      <c r="W2" s="130"/>
      <c r="Z2" s="245">
        <f>IF(COUNTIF($AJ$5:$AJ$304,1),LOOKUP($F$1,実績報告年度,$N$336:$N$339),"")</f>
      </c>
      <c r="AD2" s="130"/>
      <c r="AE2" s="130"/>
      <c r="AF2" s="130"/>
      <c r="AG2" s="130"/>
      <c r="AH2" s="130"/>
      <c r="AI2" s="130"/>
      <c r="AJ2" s="130"/>
      <c r="AK2" s="130"/>
      <c r="AL2" s="130"/>
      <c r="AM2" s="130"/>
      <c r="AN2" s="130"/>
      <c r="AO2" s="130"/>
      <c r="AP2" s="130"/>
    </row>
    <row r="3" spans="1:63" ht="21" customHeight="1">
      <c r="A3" s="359" t="s">
        <v>217</v>
      </c>
      <c r="B3" s="359" t="s">
        <v>126</v>
      </c>
      <c r="C3" s="353" t="s">
        <v>268</v>
      </c>
      <c r="D3" s="367" t="s">
        <v>269</v>
      </c>
      <c r="E3" s="349" t="s">
        <v>270</v>
      </c>
      <c r="F3" s="373" t="s">
        <v>271</v>
      </c>
      <c r="G3" s="374" t="s">
        <v>272</v>
      </c>
      <c r="H3" s="375"/>
      <c r="I3" s="373" t="s">
        <v>273</v>
      </c>
      <c r="J3" s="373" t="s">
        <v>274</v>
      </c>
      <c r="K3" s="371" t="s">
        <v>275</v>
      </c>
      <c r="L3" s="372"/>
      <c r="M3" s="355" t="s">
        <v>276</v>
      </c>
      <c r="N3" s="353" t="s">
        <v>321</v>
      </c>
      <c r="O3" s="351" t="s">
        <v>277</v>
      </c>
      <c r="P3" s="352"/>
      <c r="Q3" s="357" t="s">
        <v>710</v>
      </c>
      <c r="R3" s="357" t="s">
        <v>291</v>
      </c>
      <c r="S3" s="364" t="s">
        <v>292</v>
      </c>
      <c r="T3" s="365"/>
      <c r="U3" s="364" t="s">
        <v>293</v>
      </c>
      <c r="V3" s="365"/>
      <c r="W3" s="364" t="s">
        <v>294</v>
      </c>
      <c r="X3" s="365"/>
      <c r="Y3" s="364" t="s">
        <v>295</v>
      </c>
      <c r="Z3" s="365"/>
      <c r="AA3" s="367" t="s">
        <v>677</v>
      </c>
      <c r="AB3" s="368" t="str">
        <f>LOOKUP($F$1,実績報告年度,$M$336:$M$339)</f>
        <v>平成14年度</v>
      </c>
      <c r="AC3" s="369"/>
      <c r="AD3" s="369"/>
      <c r="AE3" s="369"/>
      <c r="AF3" s="370"/>
      <c r="AG3" s="362" t="s">
        <v>311</v>
      </c>
      <c r="AH3" s="362" t="s">
        <v>300</v>
      </c>
      <c r="AI3" s="362" t="s">
        <v>301</v>
      </c>
      <c r="AJ3" s="362" t="s">
        <v>676</v>
      </c>
      <c r="AK3" s="362" t="s">
        <v>686</v>
      </c>
      <c r="AL3" s="362" t="s">
        <v>687</v>
      </c>
      <c r="AM3" s="362" t="s">
        <v>302</v>
      </c>
      <c r="AN3" s="362" t="s">
        <v>303</v>
      </c>
      <c r="AO3" s="163" t="s">
        <v>329</v>
      </c>
      <c r="AP3" s="362" t="s">
        <v>304</v>
      </c>
      <c r="AQ3" s="359" t="s">
        <v>135</v>
      </c>
      <c r="AR3" s="359" t="s">
        <v>136</v>
      </c>
      <c r="AS3" s="359" t="s">
        <v>132</v>
      </c>
      <c r="AT3" s="359" t="s">
        <v>151</v>
      </c>
      <c r="AU3" s="359" t="s">
        <v>152</v>
      </c>
      <c r="AV3" s="359" t="s">
        <v>626</v>
      </c>
      <c r="AW3" s="359" t="s">
        <v>627</v>
      </c>
      <c r="AX3" s="359" t="s">
        <v>628</v>
      </c>
      <c r="AY3" s="359" t="s">
        <v>629</v>
      </c>
      <c r="AZ3" s="359" t="s">
        <v>630</v>
      </c>
      <c r="BA3" s="359" t="s">
        <v>631</v>
      </c>
      <c r="BB3" s="359" t="s">
        <v>632</v>
      </c>
      <c r="BC3" s="359" t="s">
        <v>633</v>
      </c>
      <c r="BD3" s="359" t="s">
        <v>691</v>
      </c>
      <c r="BE3" s="359" t="s">
        <v>688</v>
      </c>
      <c r="BF3" s="359" t="s">
        <v>156</v>
      </c>
      <c r="BG3" s="359" t="s">
        <v>689</v>
      </c>
      <c r="BH3" s="361" t="s">
        <v>312</v>
      </c>
      <c r="BI3" s="361" t="s">
        <v>313</v>
      </c>
      <c r="BJ3" s="361" t="s">
        <v>681</v>
      </c>
      <c r="BK3" s="361" t="s">
        <v>680</v>
      </c>
    </row>
    <row r="4" spans="1:63" ht="27" customHeight="1">
      <c r="A4" s="358"/>
      <c r="B4" s="358"/>
      <c r="C4" s="350"/>
      <c r="D4" s="354"/>
      <c r="E4" s="354"/>
      <c r="F4" s="354"/>
      <c r="G4" s="115"/>
      <c r="H4" s="116" t="s">
        <v>137</v>
      </c>
      <c r="I4" s="354"/>
      <c r="J4" s="354"/>
      <c r="K4" s="117" t="s">
        <v>202</v>
      </c>
      <c r="L4" s="118" t="s">
        <v>218</v>
      </c>
      <c r="M4" s="356"/>
      <c r="N4" s="354"/>
      <c r="O4" s="119" t="s">
        <v>203</v>
      </c>
      <c r="P4" s="119" t="s">
        <v>204</v>
      </c>
      <c r="Q4" s="358"/>
      <c r="R4" s="358"/>
      <c r="S4" s="250" t="s">
        <v>672</v>
      </c>
      <c r="T4" s="251" t="s">
        <v>296</v>
      </c>
      <c r="U4" s="250" t="s">
        <v>673</v>
      </c>
      <c r="V4" s="251" t="s">
        <v>296</v>
      </c>
      <c r="W4" s="250" t="s">
        <v>674</v>
      </c>
      <c r="X4" s="251" t="s">
        <v>296</v>
      </c>
      <c r="Y4" s="250" t="s">
        <v>675</v>
      </c>
      <c r="Z4" s="251" t="s">
        <v>296</v>
      </c>
      <c r="AA4" s="367"/>
      <c r="AB4" s="338" t="s">
        <v>708</v>
      </c>
      <c r="AC4" s="338" t="s">
        <v>709</v>
      </c>
      <c r="AD4" s="252" t="s">
        <v>297</v>
      </c>
      <c r="AE4" s="252" t="s">
        <v>298</v>
      </c>
      <c r="AF4" s="252" t="s">
        <v>299</v>
      </c>
      <c r="AG4" s="366"/>
      <c r="AH4" s="363"/>
      <c r="AI4" s="363"/>
      <c r="AJ4" s="363"/>
      <c r="AK4" s="363"/>
      <c r="AL4" s="363"/>
      <c r="AM4" s="363"/>
      <c r="AN4" s="363"/>
      <c r="AO4" s="253"/>
      <c r="AP4" s="363"/>
      <c r="AQ4" s="358"/>
      <c r="AR4" s="358"/>
      <c r="AS4" s="358"/>
      <c r="AT4" s="358"/>
      <c r="AU4" s="358"/>
      <c r="AV4" s="358"/>
      <c r="AW4" s="358"/>
      <c r="AX4" s="358"/>
      <c r="AY4" s="358"/>
      <c r="AZ4" s="358"/>
      <c r="BA4" s="358"/>
      <c r="BB4" s="358"/>
      <c r="BC4" s="358"/>
      <c r="BD4" s="360"/>
      <c r="BE4" s="358"/>
      <c r="BF4" s="358"/>
      <c r="BG4" s="358"/>
      <c r="BH4" s="361"/>
      <c r="BI4" s="361"/>
      <c r="BJ4" s="361"/>
      <c r="BK4" s="361"/>
    </row>
    <row r="5" spans="1:63" s="124" customFormat="1" ht="13.5" customHeight="1">
      <c r="A5" s="120"/>
      <c r="B5" s="120"/>
      <c r="C5" s="155"/>
      <c r="D5" s="155"/>
      <c r="E5" s="155"/>
      <c r="F5" s="155"/>
      <c r="G5" s="156"/>
      <c r="H5" s="157"/>
      <c r="I5" s="155"/>
      <c r="J5" s="155"/>
      <c r="K5" s="158"/>
      <c r="L5" s="159"/>
      <c r="M5" s="244"/>
      <c r="N5" s="155"/>
      <c r="O5" s="345">
        <f>IF(ISBLANK(J5)=TRUE,"",IF(OR(AW5="メ",M5="有"),"要確認",IF(ISNUMBER(AZ5*BA5)=TRUE,AZ5*BA5,"要確認")))</f>
      </c>
      <c r="P5" s="345">
        <f aca="true" t="shared" si="0" ref="P5:P68">IF(ISBLANK(J5)=TRUE,"",IF(AW5="メ","要確認",IF(ISNUMBER(BB5*BC5)=TRUE,BB5*BC5,"要確認")))</f>
      </c>
      <c r="Q5" s="508"/>
      <c r="R5" s="346"/>
      <c r="S5" s="347"/>
      <c r="T5" s="348"/>
      <c r="U5" s="347"/>
      <c r="V5" s="348"/>
      <c r="W5" s="347"/>
      <c r="X5" s="348"/>
      <c r="Y5" s="347"/>
      <c r="Z5" s="348"/>
      <c r="AA5" s="340" t="e">
        <f aca="true" t="shared" si="1" ref="AA5:AA68">IF(AND(BJ5="否",T5&lt;&gt;"廃止",V5&lt;&gt;"廃止",X5&lt;&gt;"廃止",Z5&lt;&gt;"廃止"),IF(OR(AND(OR(LEFT(F5,1)="1",LEFT(F5,1)="4"),BK5&lt;"199704"),AND(LEFT(F5,1)="2",BK5&lt;"199804"),AND(LEFT(F5,1)="3",I5&gt;6000,BK5&lt;"199404"),AND(LEFT(F5,1)="3",I5&lt;=6000,BK5&lt;"199604"),AND(OR(LEFT(F5,1)="5",LEFT(F5,1)="6",LEFT(F5,1)="7",LEFT(F5,1)="8"),BK5&lt;"199604")),"★",""),"")</f>
        <v>#N/A</v>
      </c>
      <c r="AB5" s="339">
        <f>IF(OR(AK5="",AK5=0),"",O5)</f>
      </c>
      <c r="AC5" s="339">
        <f>IF(P5="要確認",P5,IF(OR(AK5="",AK5=0),"",P5*BD5))</f>
      </c>
      <c r="AD5" s="255">
        <f>IF(AND(AK5=1,AJ5&lt;&gt;1),IF(AH5=14,R5,(IF(AH5=15,U5-S5,(IF(AH5=16,W5-U5,IF(AH5=17,Y5-W5,"")))))),"")</f>
      </c>
      <c r="AE5" s="256">
        <f>IF(O5="要確認","",IF(OR(AK5="",AK5=0,AJ5=1),"",O5*AS5*AD5/1000))</f>
      </c>
      <c r="AF5" s="256">
        <f>IF(P5="要確認","",IF(OR(AK5="",AK5=0,AJ5=1),"",P5*BD5*AS5*AD5/1000))</f>
      </c>
      <c r="AG5" s="255">
        <f>IF(J5="","",IF(OR(T5="新規",T5="新規廃止"),14,IF(OR(V5="新規",V5="新規廃止"),15,IF(OR(X5="新規",X5="新規廃止"),16,IF(OR(Z5="新規",Z5="新規廃止"),17,13)))))</f>
      </c>
      <c r="AH5" s="255">
        <f aca="true" t="shared" si="2" ref="AH5:AH68">IF(J5="","",LOOKUP($F$1,実績報告年度,$L$336:$L$339))</f>
      </c>
      <c r="AI5" s="255">
        <f>IF(J5="","",IF(OR(T5="廃止",T5="新規廃止"),14,IF(OR(V5="廃止",V5="新規廃止"),15,IF(OR(X5="廃止",X5="新規廃止"),16,IF(OR(Z5="廃止",Z5="新規廃止"),17,18)))))</f>
      </c>
      <c r="AJ5" s="255">
        <f>IF(OR(AND(AH5=14,AK5=1,OR(R5="",S5="")),AND(AH5=15,AK5=1,OR(U5="",S5&gt;U5)),AND(AH5=16,AK5=1,OR(W5="",U5&gt;W5)),AND(AH5=17,AK5=1,OR(Y5="",W5&gt;Y5))),1,"")</f>
      </c>
      <c r="AK5" s="255">
        <f aca="true" t="shared" si="3" ref="AK5:AK68">IF(J5="","",IF(AND((AH5&gt;=AG5),(AH5&lt;=AI5)),1,0))</f>
      </c>
      <c r="AL5" s="255">
        <f aca="true" t="shared" si="4" ref="AL5:AL68">IF(J5="","",IF(AND((AH5&gt;=AG5),(AH5&lt;AI5)),1,0))</f>
      </c>
      <c r="AM5" s="120">
        <f aca="true" ca="1" t="shared" si="5" ref="AM5:AM36">COUNTIF(OFFSET($AK$5,,,AO5,1),1)</f>
        <v>0</v>
      </c>
      <c r="AN5" s="120" t="e">
        <f aca="true" t="shared" si="6" ref="AN5:AN68">MATCH(AO5,$AM$5:$AM$304,0)</f>
        <v>#N/A</v>
      </c>
      <c r="AO5" s="120">
        <f>ROWS($AO$4:AO5)-1</f>
        <v>1</v>
      </c>
      <c r="AP5" s="255" t="e">
        <f aca="true" t="shared" si="7" ref="AP5:AP36">AN5-AO5</f>
        <v>#N/A</v>
      </c>
      <c r="AQ5" s="120" t="e">
        <f aca="true" t="shared" si="8" ref="AQ5:AQ68">LOOKUP(F5,種類,$L$307:$L$314)</f>
        <v>#N/A</v>
      </c>
      <c r="AR5" s="120" t="e">
        <f aca="true" t="shared" si="9" ref="AR5:AR36">LOOKUP(F5,種類,$M$307:$M$314)</f>
        <v>#N/A</v>
      </c>
      <c r="AS5" s="121">
        <f aca="true" t="shared" si="10" ref="AS5:AS36">IF(I5&gt;3500,I5/1000,1)</f>
        <v>1</v>
      </c>
      <c r="AT5" s="120" t="str">
        <f aca="true" t="shared" si="11" ref="AT5:AT36">IF(ISBLANK(F5)=TRUE," ",IF(LEFT(F5,1)="4",0,IF(I5&lt;=1700,1,IF(I5&lt;=2500,2,IF(I5&lt;=3500,3,4)))))</f>
        <v> </v>
      </c>
      <c r="AU5" s="120" t="str">
        <f aca="true" t="shared" si="12" ref="AU5:AU36">IF(ISBLANK(J5)=TRUE," ",IF(LEFT(F5,1)="1",IF(I5&lt;=3500,1,IF(I5&lt;=5000,2,3)),IF(LEFT(F5,1)="6",IF(I5&lt;=3500,1,IF(I5&lt;=5000,2,3)),"")))</f>
        <v> </v>
      </c>
      <c r="AV5" s="120" t="e">
        <f aca="true" t="shared" si="13" ref="AV5:AV68">IF(AQ5="乗",0,IF(LEFT(F5,1)="4",0,IF(I5&lt;=1700,1,IF(I5&lt;=2500,2,IF(I5&lt;=3500,3,4)))))</f>
        <v>#N/A</v>
      </c>
      <c r="AW5" s="120" t="e">
        <f aca="true" t="shared" si="14" ref="AW5:AW68">LOOKUP(J5,燃料,$L$317:$L$333)</f>
        <v>#N/A</v>
      </c>
      <c r="AX5" s="120">
        <f aca="true" t="shared" si="15" ref="AX5:AX68">IF(ISERROR(SEARCH("-",ASC(G5),1))=TRUE,UPPER(ASC(G5)),UPPER(LEFT(ASC(G5),SEARCH("-",ASC(G5),1)-1)))</f>
      </c>
      <c r="AY5" s="120" t="e">
        <f aca="true" t="shared" si="16" ref="AY5:AY68">IF(AW5="電","電",CONCATENATE(AQ5,AV5,AW5,AX5))</f>
        <v>#N/A</v>
      </c>
      <c r="AZ5" s="120" t="e">
        <f>VLOOKUP(AY5,'排出係数表'!$A$4:$C$202,2,FALSE)</f>
        <v>#N/A</v>
      </c>
      <c r="BA5" s="120" t="e">
        <f aca="true" t="shared" si="17" ref="BA5:BA68">IF(OR(AND(LEFT(AX5,1)="U",AX5&lt;&gt;"U"),AND(LEFT(AX5,1)="L",AX5&lt;&gt;"L"),AND(LEFT(AX5,1)="T",AX5&lt;&gt;"T"),AND(LEFT(AX5,1)="Z",AX5&lt;&gt;"Z"),AND(LEFT(AX5,1)="Y",AX5&lt;&gt;"Y"),AND(LEFT(AX5,1)="X",AX5&lt;&gt;"X")),1,LOOKUP(J5,燃料,$M$317:$M$333))</f>
        <v>#N/A</v>
      </c>
      <c r="BB5" s="120" t="e">
        <f>VLOOKUP(AY5,'排出係数表'!$A$4:$C$202,3,FALSE)</f>
        <v>#N/A</v>
      </c>
      <c r="BC5" s="120" t="e">
        <f aca="true" t="shared" si="18" ref="BC5:BC68">LOOKUP(J5,燃料,$N$317:$N$333)</f>
        <v>#N/A</v>
      </c>
      <c r="BD5" s="120">
        <f>IF(ISBLANK(N5),1,IF(RIGHT(LEFT($F$1,4),2)&gt;=LEFT(N5,2),(IF(ISERROR(VLOOKUP(AX5,$H$307:$I$327,2,FALSE)),0.7,VLOOKUP(AX5,$H$307:$I$327,2,FALSE))),1))</f>
        <v>1</v>
      </c>
      <c r="BE5" s="122">
        <f aca="true" t="shared" si="19" ref="BE5:BE68">IF(OR(AL5="",AL5=0),"",C5&amp;LEFT(F5,1)&amp;AT5)</f>
      </c>
      <c r="BF5" s="123" t="e">
        <f aca="true" t="shared" si="20" ref="BF5:BF36">VALUE(LEFT(J5,2))</f>
        <v>#VALUE!</v>
      </c>
      <c r="BG5" s="122">
        <f>IF(OR(AL5="",AL5=0),"",CONCATENATE(BF5,AR5,AU5))</f>
      </c>
      <c r="BH5" s="120" t="e">
        <f>AI5&amp;BF5&amp;AR5&amp;AU5</f>
        <v>#VALUE!</v>
      </c>
      <c r="BI5" s="120" t="e">
        <f>AG5&amp;BF5&amp;AR5&amp;AU5</f>
        <v>#VALUE!</v>
      </c>
      <c r="BJ5" s="122" t="e">
        <f>VLOOKUP(AY5,'排出係数表'!$A$4:$D$202,4)</f>
        <v>#N/A</v>
      </c>
      <c r="BK5" s="257">
        <f>LEFT(K5,4)&amp;LEFT(L5,2)</f>
      </c>
    </row>
    <row r="6" spans="1:63" s="124" customFormat="1" ht="13.5" customHeight="1">
      <c r="A6" s="120"/>
      <c r="B6" s="120"/>
      <c r="C6" s="155"/>
      <c r="D6" s="155"/>
      <c r="E6" s="155"/>
      <c r="F6" s="155"/>
      <c r="G6" s="156"/>
      <c r="H6" s="157"/>
      <c r="I6" s="155"/>
      <c r="J6" s="155"/>
      <c r="K6" s="158"/>
      <c r="L6" s="159"/>
      <c r="M6" s="244"/>
      <c r="N6" s="155"/>
      <c r="O6" s="345">
        <f aca="true" t="shared" si="21" ref="O6:O69">IF(ISBLANK(J6)=TRUE,"",IF(OR(AW6="メ",M6="有"),"要確認",IF(ISNUMBER(AZ6*BA6)=TRUE,AZ6*BA6,"要確認")))</f>
      </c>
      <c r="P6" s="345">
        <f t="shared" si="0"/>
      </c>
      <c r="Q6" s="508"/>
      <c r="R6" s="346"/>
      <c r="S6" s="347"/>
      <c r="T6" s="348"/>
      <c r="U6" s="347"/>
      <c r="V6" s="348"/>
      <c r="W6" s="347"/>
      <c r="X6" s="348"/>
      <c r="Y6" s="347"/>
      <c r="Z6" s="348"/>
      <c r="AA6" s="340" t="e">
        <f t="shared" si="1"/>
        <v>#N/A</v>
      </c>
      <c r="AB6" s="339">
        <f aca="true" t="shared" si="22" ref="AB6:AB69">IF(OR(AK6="",AK6=0),"",O6)</f>
      </c>
      <c r="AC6" s="339">
        <f aca="true" t="shared" si="23" ref="AC6:AC69">IF(P6="要確認",P6,IF(OR(AK6="",AK6=0),"",P6*BD6))</f>
      </c>
      <c r="AD6" s="255">
        <f aca="true" t="shared" si="24" ref="AD6:AD69">IF(AND(AK6=1,AJ6&lt;&gt;1),IF(AH6=14,R6,(IF(AH6=15,U6-S6,(IF(AH6=16,W6-U6,IF(AH6=17,Y6-W6,"")))))),"")</f>
      </c>
      <c r="AE6" s="256">
        <f aca="true" t="shared" si="25" ref="AE6:AE69">IF(O6="要確認","",IF(OR(AK6="",AK6=0,AJ6=1),"",O6*AS6*AD6/1000))</f>
      </c>
      <c r="AF6" s="256">
        <f aca="true" t="shared" si="26" ref="AF6:AF69">IF(P6="要確認","",IF(OR(AK6="",AK6=0,AJ6=1),"",P6*BD6*AS6*AD6/1000))</f>
      </c>
      <c r="AG6" s="255">
        <f aca="true" t="shared" si="27" ref="AG6:AG69">IF(J6="","",IF(OR(T6="新規",T6="新規廃止"),14,IF(OR(V6="新規",V6="新規廃止"),15,IF(OR(X6="新規",X6="新規廃止"),16,IF(OR(Z6="新規",Z6="新規廃止"),17,13)))))</f>
      </c>
      <c r="AH6" s="255">
        <f t="shared" si="2"/>
      </c>
      <c r="AI6" s="255">
        <f aca="true" t="shared" si="28" ref="AI6:AI69">IF(J6="","",IF(OR(T6="廃止",T6="新規廃止"),14,IF(OR(V6="廃止",V6="新規廃止"),15,IF(OR(X6="廃止",X6="新規廃止"),16,IF(OR(Z6="廃止",Z6="新規廃止"),17,18)))))</f>
      </c>
      <c r="AJ6" s="255">
        <f aca="true" t="shared" si="29" ref="AJ6:AJ69">IF(OR(AND(AH6=14,AK6=1,OR(R6="",S6="")),AND(AH6=15,AK6=1,OR(U6="",S6&gt;U6)),AND(AH6=16,AK6=1,OR(W6="",U6&gt;W6)),AND(AH6=17,AK6=1,OR(Y6="",W6&gt;Y6))),1,"")</f>
      </c>
      <c r="AK6" s="255">
        <f t="shared" si="3"/>
      </c>
      <c r="AL6" s="255">
        <f t="shared" si="4"/>
      </c>
      <c r="AM6" s="120">
        <f ca="1" t="shared" si="5"/>
        <v>0</v>
      </c>
      <c r="AN6" s="120" t="e">
        <f t="shared" si="6"/>
        <v>#N/A</v>
      </c>
      <c r="AO6" s="120">
        <f>ROWS($AO$4:AO6)-1</f>
        <v>2</v>
      </c>
      <c r="AP6" s="255" t="e">
        <f t="shared" si="7"/>
        <v>#N/A</v>
      </c>
      <c r="AQ6" s="120" t="e">
        <f t="shared" si="8"/>
        <v>#N/A</v>
      </c>
      <c r="AR6" s="120" t="e">
        <f t="shared" si="9"/>
        <v>#N/A</v>
      </c>
      <c r="AS6" s="121">
        <f t="shared" si="10"/>
        <v>1</v>
      </c>
      <c r="AT6" s="120" t="str">
        <f t="shared" si="11"/>
        <v> </v>
      </c>
      <c r="AU6" s="120" t="str">
        <f t="shared" si="12"/>
        <v> </v>
      </c>
      <c r="AV6" s="120" t="e">
        <f t="shared" si="13"/>
        <v>#N/A</v>
      </c>
      <c r="AW6" s="120" t="e">
        <f t="shared" si="14"/>
        <v>#N/A</v>
      </c>
      <c r="AX6" s="120">
        <f t="shared" si="15"/>
      </c>
      <c r="AY6" s="120" t="e">
        <f t="shared" si="16"/>
        <v>#N/A</v>
      </c>
      <c r="AZ6" s="120" t="e">
        <f>VLOOKUP(AY6,'排出係数表'!$A$4:$C$202,2,FALSE)</f>
        <v>#N/A</v>
      </c>
      <c r="BA6" s="120" t="e">
        <f t="shared" si="17"/>
        <v>#N/A</v>
      </c>
      <c r="BB6" s="120" t="e">
        <f>VLOOKUP(AY6,'排出係数表'!$A$4:$C$202,3,FALSE)</f>
        <v>#N/A</v>
      </c>
      <c r="BC6" s="120" t="e">
        <f t="shared" si="18"/>
        <v>#N/A</v>
      </c>
      <c r="BD6" s="120">
        <f aca="true" t="shared" si="30" ref="BD6:BD69">IF(ISBLANK(N6),1,IF(RIGHT(LEFT($F$1,4),2)&gt;=LEFT(N6,2),(IF(ISERROR(VLOOKUP(AX6,$H$307:$I$327,2,FALSE)),0.7,VLOOKUP(AX6,$H$307:$I$327,2,FALSE))),1))</f>
        <v>1</v>
      </c>
      <c r="BE6" s="122">
        <f t="shared" si="19"/>
      </c>
      <c r="BF6" s="123" t="e">
        <f t="shared" si="20"/>
        <v>#VALUE!</v>
      </c>
      <c r="BG6" s="122">
        <f aca="true" t="shared" si="31" ref="BG6:BG16">IF(OR(AL6="",AL6=0),"",CONCATENATE(BF6,AR6,AU6))</f>
      </c>
      <c r="BH6" s="120" t="e">
        <f aca="true" t="shared" si="32" ref="BH6:BH16">AI6&amp;BF6&amp;AR6&amp;AU6</f>
        <v>#VALUE!</v>
      </c>
      <c r="BI6" s="120" t="e">
        <f aca="true" t="shared" si="33" ref="BI6:BI16">AG6&amp;BF6&amp;AR6&amp;AU6</f>
        <v>#VALUE!</v>
      </c>
      <c r="BJ6" s="122" t="e">
        <f>VLOOKUP(AY6,'排出係数表'!$A$4:$D$202,4)</f>
        <v>#N/A</v>
      </c>
      <c r="BK6" s="257">
        <f aca="true" t="shared" si="34" ref="BK6:BK30">LEFT(K6,4)&amp;LEFT(L6,2)</f>
      </c>
    </row>
    <row r="7" spans="1:63" s="124" customFormat="1" ht="13.5" customHeight="1">
      <c r="A7" s="120"/>
      <c r="B7" s="120"/>
      <c r="C7" s="155"/>
      <c r="D7" s="155"/>
      <c r="E7" s="155"/>
      <c r="F7" s="155"/>
      <c r="G7" s="156"/>
      <c r="H7" s="157"/>
      <c r="I7" s="155"/>
      <c r="J7" s="155"/>
      <c r="K7" s="158"/>
      <c r="L7" s="159"/>
      <c r="M7" s="244"/>
      <c r="N7" s="155"/>
      <c r="O7" s="345">
        <f t="shared" si="21"/>
      </c>
      <c r="P7" s="345">
        <f t="shared" si="0"/>
      </c>
      <c r="Q7" s="508"/>
      <c r="R7" s="346"/>
      <c r="S7" s="347"/>
      <c r="T7" s="348"/>
      <c r="U7" s="347"/>
      <c r="V7" s="348"/>
      <c r="W7" s="347"/>
      <c r="X7" s="348"/>
      <c r="Y7" s="347"/>
      <c r="Z7" s="348"/>
      <c r="AA7" s="340" t="e">
        <f t="shared" si="1"/>
        <v>#N/A</v>
      </c>
      <c r="AB7" s="339">
        <f t="shared" si="22"/>
      </c>
      <c r="AC7" s="339">
        <f t="shared" si="23"/>
      </c>
      <c r="AD7" s="255">
        <f t="shared" si="24"/>
      </c>
      <c r="AE7" s="256">
        <f t="shared" si="25"/>
      </c>
      <c r="AF7" s="256">
        <f t="shared" si="26"/>
      </c>
      <c r="AG7" s="255">
        <f t="shared" si="27"/>
      </c>
      <c r="AH7" s="255">
        <f t="shared" si="2"/>
      </c>
      <c r="AI7" s="255">
        <f t="shared" si="28"/>
      </c>
      <c r="AJ7" s="255">
        <f t="shared" si="29"/>
      </c>
      <c r="AK7" s="255">
        <f t="shared" si="3"/>
      </c>
      <c r="AL7" s="255">
        <f t="shared" si="4"/>
      </c>
      <c r="AM7" s="120">
        <f ca="1" t="shared" si="5"/>
        <v>0</v>
      </c>
      <c r="AN7" s="120" t="e">
        <f t="shared" si="6"/>
        <v>#N/A</v>
      </c>
      <c r="AO7" s="120">
        <f>ROWS($AO$4:AO7)-1</f>
        <v>3</v>
      </c>
      <c r="AP7" s="255" t="e">
        <f t="shared" si="7"/>
        <v>#N/A</v>
      </c>
      <c r="AQ7" s="120" t="e">
        <f t="shared" si="8"/>
        <v>#N/A</v>
      </c>
      <c r="AR7" s="120" t="e">
        <f t="shared" si="9"/>
        <v>#N/A</v>
      </c>
      <c r="AS7" s="121">
        <f t="shared" si="10"/>
        <v>1</v>
      </c>
      <c r="AT7" s="120" t="str">
        <f t="shared" si="11"/>
        <v> </v>
      </c>
      <c r="AU7" s="120" t="str">
        <f t="shared" si="12"/>
        <v> </v>
      </c>
      <c r="AV7" s="120" t="e">
        <f t="shared" si="13"/>
        <v>#N/A</v>
      </c>
      <c r="AW7" s="120" t="e">
        <f t="shared" si="14"/>
        <v>#N/A</v>
      </c>
      <c r="AX7" s="120">
        <f t="shared" si="15"/>
      </c>
      <c r="AY7" s="120" t="e">
        <f t="shared" si="16"/>
        <v>#N/A</v>
      </c>
      <c r="AZ7" s="120" t="e">
        <f>VLOOKUP(AY7,'排出係数表'!$A$4:$C$202,2,FALSE)</f>
        <v>#N/A</v>
      </c>
      <c r="BA7" s="120" t="e">
        <f t="shared" si="17"/>
        <v>#N/A</v>
      </c>
      <c r="BB7" s="120" t="e">
        <f>VLOOKUP(AY7,'排出係数表'!$A$4:$C$202,3,FALSE)</f>
        <v>#N/A</v>
      </c>
      <c r="BC7" s="120" t="e">
        <f t="shared" si="18"/>
        <v>#N/A</v>
      </c>
      <c r="BD7" s="120">
        <f t="shared" si="30"/>
        <v>1</v>
      </c>
      <c r="BE7" s="122">
        <f t="shared" si="19"/>
      </c>
      <c r="BF7" s="123" t="e">
        <f t="shared" si="20"/>
        <v>#VALUE!</v>
      </c>
      <c r="BG7" s="122">
        <f t="shared" si="31"/>
      </c>
      <c r="BH7" s="120" t="e">
        <f t="shared" si="32"/>
        <v>#VALUE!</v>
      </c>
      <c r="BI7" s="120" t="e">
        <f t="shared" si="33"/>
        <v>#VALUE!</v>
      </c>
      <c r="BJ7" s="122" t="e">
        <f>VLOOKUP(AY7,'排出係数表'!$A$4:$D$202,4)</f>
        <v>#N/A</v>
      </c>
      <c r="BK7" s="257">
        <f t="shared" si="34"/>
      </c>
    </row>
    <row r="8" spans="1:63" s="124" customFormat="1" ht="13.5" customHeight="1">
      <c r="A8" s="120"/>
      <c r="B8" s="120"/>
      <c r="C8" s="155"/>
      <c r="D8" s="155"/>
      <c r="E8" s="155"/>
      <c r="F8" s="155"/>
      <c r="G8" s="156"/>
      <c r="H8" s="157"/>
      <c r="I8" s="155"/>
      <c r="J8" s="155"/>
      <c r="K8" s="158"/>
      <c r="L8" s="159"/>
      <c r="M8" s="244"/>
      <c r="N8" s="155"/>
      <c r="O8" s="345">
        <f t="shared" si="21"/>
      </c>
      <c r="P8" s="345">
        <f t="shared" si="0"/>
      </c>
      <c r="Q8" s="508"/>
      <c r="R8" s="346"/>
      <c r="S8" s="347"/>
      <c r="T8" s="348"/>
      <c r="U8" s="347"/>
      <c r="V8" s="348"/>
      <c r="W8" s="347"/>
      <c r="X8" s="348"/>
      <c r="Y8" s="347"/>
      <c r="Z8" s="348"/>
      <c r="AA8" s="340" t="e">
        <f t="shared" si="1"/>
        <v>#N/A</v>
      </c>
      <c r="AB8" s="339">
        <f t="shared" si="22"/>
      </c>
      <c r="AC8" s="339">
        <f t="shared" si="23"/>
      </c>
      <c r="AD8" s="255">
        <f t="shared" si="24"/>
      </c>
      <c r="AE8" s="256">
        <f t="shared" si="25"/>
      </c>
      <c r="AF8" s="256">
        <f t="shared" si="26"/>
      </c>
      <c r="AG8" s="255">
        <f t="shared" si="27"/>
      </c>
      <c r="AH8" s="255">
        <f t="shared" si="2"/>
      </c>
      <c r="AI8" s="255">
        <f t="shared" si="28"/>
      </c>
      <c r="AJ8" s="255">
        <f t="shared" si="29"/>
      </c>
      <c r="AK8" s="255">
        <f t="shared" si="3"/>
      </c>
      <c r="AL8" s="255">
        <f t="shared" si="4"/>
      </c>
      <c r="AM8" s="120">
        <f ca="1" t="shared" si="5"/>
        <v>0</v>
      </c>
      <c r="AN8" s="120" t="e">
        <f t="shared" si="6"/>
        <v>#N/A</v>
      </c>
      <c r="AO8" s="120">
        <f>ROWS($AO$4:AO8)-1</f>
        <v>4</v>
      </c>
      <c r="AP8" s="255" t="e">
        <f t="shared" si="7"/>
        <v>#N/A</v>
      </c>
      <c r="AQ8" s="120" t="e">
        <f t="shared" si="8"/>
        <v>#N/A</v>
      </c>
      <c r="AR8" s="120" t="e">
        <f t="shared" si="9"/>
        <v>#N/A</v>
      </c>
      <c r="AS8" s="121">
        <f t="shared" si="10"/>
        <v>1</v>
      </c>
      <c r="AT8" s="120" t="str">
        <f t="shared" si="11"/>
        <v> </v>
      </c>
      <c r="AU8" s="120" t="str">
        <f t="shared" si="12"/>
        <v> </v>
      </c>
      <c r="AV8" s="120" t="e">
        <f t="shared" si="13"/>
        <v>#N/A</v>
      </c>
      <c r="AW8" s="120" t="e">
        <f t="shared" si="14"/>
        <v>#N/A</v>
      </c>
      <c r="AX8" s="120">
        <f t="shared" si="15"/>
      </c>
      <c r="AY8" s="120" t="e">
        <f t="shared" si="16"/>
        <v>#N/A</v>
      </c>
      <c r="AZ8" s="120" t="e">
        <f>VLOOKUP(AY8,'排出係数表'!$A$4:$C$202,2,FALSE)</f>
        <v>#N/A</v>
      </c>
      <c r="BA8" s="120" t="e">
        <f t="shared" si="17"/>
        <v>#N/A</v>
      </c>
      <c r="BB8" s="120" t="e">
        <f>VLOOKUP(AY8,'排出係数表'!$A$4:$C$202,3,FALSE)</f>
        <v>#N/A</v>
      </c>
      <c r="BC8" s="120" t="e">
        <f t="shared" si="18"/>
        <v>#N/A</v>
      </c>
      <c r="BD8" s="120">
        <f t="shared" si="30"/>
        <v>1</v>
      </c>
      <c r="BE8" s="122">
        <f t="shared" si="19"/>
      </c>
      <c r="BF8" s="123" t="e">
        <f t="shared" si="20"/>
        <v>#VALUE!</v>
      </c>
      <c r="BG8" s="122">
        <f t="shared" si="31"/>
      </c>
      <c r="BH8" s="120" t="e">
        <f t="shared" si="32"/>
        <v>#VALUE!</v>
      </c>
      <c r="BI8" s="120" t="e">
        <f t="shared" si="33"/>
        <v>#VALUE!</v>
      </c>
      <c r="BJ8" s="122" t="e">
        <f>VLOOKUP(AY8,'排出係数表'!$A$4:$D$202,4)</f>
        <v>#N/A</v>
      </c>
      <c r="BK8" s="257">
        <f t="shared" si="34"/>
      </c>
    </row>
    <row r="9" spans="1:63" s="124" customFormat="1" ht="13.5" customHeight="1">
      <c r="A9" s="120"/>
      <c r="B9" s="120"/>
      <c r="C9" s="155"/>
      <c r="D9" s="155"/>
      <c r="E9" s="155"/>
      <c r="F9" s="155"/>
      <c r="G9" s="156"/>
      <c r="H9" s="157"/>
      <c r="I9" s="155"/>
      <c r="J9" s="155"/>
      <c r="K9" s="158"/>
      <c r="L9" s="159"/>
      <c r="M9" s="244"/>
      <c r="N9" s="155"/>
      <c r="O9" s="345">
        <f t="shared" si="21"/>
      </c>
      <c r="P9" s="345">
        <f t="shared" si="0"/>
      </c>
      <c r="Q9" s="508"/>
      <c r="R9" s="346"/>
      <c r="S9" s="347"/>
      <c r="T9" s="348"/>
      <c r="U9" s="347"/>
      <c r="V9" s="348"/>
      <c r="W9" s="347"/>
      <c r="X9" s="348"/>
      <c r="Y9" s="347"/>
      <c r="Z9" s="348"/>
      <c r="AA9" s="340" t="e">
        <f t="shared" si="1"/>
        <v>#N/A</v>
      </c>
      <c r="AB9" s="339">
        <f t="shared" si="22"/>
      </c>
      <c r="AC9" s="339">
        <f t="shared" si="23"/>
      </c>
      <c r="AD9" s="255">
        <f t="shared" si="24"/>
      </c>
      <c r="AE9" s="256">
        <f t="shared" si="25"/>
      </c>
      <c r="AF9" s="256">
        <f t="shared" si="26"/>
      </c>
      <c r="AG9" s="255">
        <f t="shared" si="27"/>
      </c>
      <c r="AH9" s="255">
        <f t="shared" si="2"/>
      </c>
      <c r="AI9" s="255">
        <f t="shared" si="28"/>
      </c>
      <c r="AJ9" s="255">
        <f t="shared" si="29"/>
      </c>
      <c r="AK9" s="255">
        <f t="shared" si="3"/>
      </c>
      <c r="AL9" s="255">
        <f t="shared" si="4"/>
      </c>
      <c r="AM9" s="120">
        <f ca="1" t="shared" si="5"/>
        <v>0</v>
      </c>
      <c r="AN9" s="120" t="e">
        <f t="shared" si="6"/>
        <v>#N/A</v>
      </c>
      <c r="AO9" s="120">
        <f>ROWS($AO$4:AO9)-1</f>
        <v>5</v>
      </c>
      <c r="AP9" s="255" t="e">
        <f t="shared" si="7"/>
        <v>#N/A</v>
      </c>
      <c r="AQ9" s="120" t="e">
        <f t="shared" si="8"/>
        <v>#N/A</v>
      </c>
      <c r="AR9" s="120" t="e">
        <f t="shared" si="9"/>
        <v>#N/A</v>
      </c>
      <c r="AS9" s="121">
        <f t="shared" si="10"/>
        <v>1</v>
      </c>
      <c r="AT9" s="120" t="str">
        <f t="shared" si="11"/>
        <v> </v>
      </c>
      <c r="AU9" s="120" t="str">
        <f t="shared" si="12"/>
        <v> </v>
      </c>
      <c r="AV9" s="120" t="e">
        <f t="shared" si="13"/>
        <v>#N/A</v>
      </c>
      <c r="AW9" s="120" t="e">
        <f t="shared" si="14"/>
        <v>#N/A</v>
      </c>
      <c r="AX9" s="120">
        <f t="shared" si="15"/>
      </c>
      <c r="AY9" s="120" t="e">
        <f t="shared" si="16"/>
        <v>#N/A</v>
      </c>
      <c r="AZ9" s="120" t="e">
        <f>VLOOKUP(AY9,'排出係数表'!$A$4:$C$202,2,FALSE)</f>
        <v>#N/A</v>
      </c>
      <c r="BA9" s="120" t="e">
        <f t="shared" si="17"/>
        <v>#N/A</v>
      </c>
      <c r="BB9" s="120" t="e">
        <f>VLOOKUP(AY9,'排出係数表'!$A$4:$C$202,3,FALSE)</f>
        <v>#N/A</v>
      </c>
      <c r="BC9" s="120" t="e">
        <f t="shared" si="18"/>
        <v>#N/A</v>
      </c>
      <c r="BD9" s="120">
        <f t="shared" si="30"/>
        <v>1</v>
      </c>
      <c r="BE9" s="122">
        <f t="shared" si="19"/>
      </c>
      <c r="BF9" s="123" t="e">
        <f t="shared" si="20"/>
        <v>#VALUE!</v>
      </c>
      <c r="BG9" s="122">
        <f t="shared" si="31"/>
      </c>
      <c r="BH9" s="120" t="e">
        <f t="shared" si="32"/>
        <v>#VALUE!</v>
      </c>
      <c r="BI9" s="120" t="e">
        <f t="shared" si="33"/>
        <v>#VALUE!</v>
      </c>
      <c r="BJ9" s="122" t="e">
        <f>VLOOKUP(AY9,'排出係数表'!$A$4:$D$202,4)</f>
        <v>#N/A</v>
      </c>
      <c r="BK9" s="257">
        <f t="shared" si="34"/>
      </c>
    </row>
    <row r="10" spans="1:63" s="124" customFormat="1" ht="13.5" customHeight="1">
      <c r="A10" s="120"/>
      <c r="B10" s="120"/>
      <c r="C10" s="155"/>
      <c r="D10" s="155"/>
      <c r="E10" s="155"/>
      <c r="F10" s="155"/>
      <c r="G10" s="156"/>
      <c r="H10" s="157"/>
      <c r="I10" s="155"/>
      <c r="J10" s="155"/>
      <c r="K10" s="158"/>
      <c r="L10" s="159"/>
      <c r="M10" s="244"/>
      <c r="N10" s="155"/>
      <c r="O10" s="345">
        <f t="shared" si="21"/>
      </c>
      <c r="P10" s="345">
        <f t="shared" si="0"/>
      </c>
      <c r="Q10" s="508"/>
      <c r="R10" s="346"/>
      <c r="S10" s="347"/>
      <c r="T10" s="348"/>
      <c r="U10" s="347"/>
      <c r="V10" s="348"/>
      <c r="W10" s="347"/>
      <c r="X10" s="348"/>
      <c r="Y10" s="347"/>
      <c r="Z10" s="348"/>
      <c r="AA10" s="340" t="e">
        <f t="shared" si="1"/>
        <v>#N/A</v>
      </c>
      <c r="AB10" s="339">
        <f t="shared" si="22"/>
      </c>
      <c r="AC10" s="339">
        <f t="shared" si="23"/>
      </c>
      <c r="AD10" s="255">
        <f t="shared" si="24"/>
      </c>
      <c r="AE10" s="256">
        <f t="shared" si="25"/>
      </c>
      <c r="AF10" s="256">
        <f t="shared" si="26"/>
      </c>
      <c r="AG10" s="255">
        <f t="shared" si="27"/>
      </c>
      <c r="AH10" s="255">
        <f t="shared" si="2"/>
      </c>
      <c r="AI10" s="255">
        <f t="shared" si="28"/>
      </c>
      <c r="AJ10" s="255">
        <f t="shared" si="29"/>
      </c>
      <c r="AK10" s="255">
        <f t="shared" si="3"/>
      </c>
      <c r="AL10" s="255">
        <f t="shared" si="4"/>
      </c>
      <c r="AM10" s="120">
        <f ca="1" t="shared" si="5"/>
        <v>0</v>
      </c>
      <c r="AN10" s="120" t="e">
        <f t="shared" si="6"/>
        <v>#N/A</v>
      </c>
      <c r="AO10" s="120">
        <f>ROWS($AO$4:AO10)-1</f>
        <v>6</v>
      </c>
      <c r="AP10" s="255" t="e">
        <f t="shared" si="7"/>
        <v>#N/A</v>
      </c>
      <c r="AQ10" s="120" t="e">
        <f t="shared" si="8"/>
        <v>#N/A</v>
      </c>
      <c r="AR10" s="120" t="e">
        <f t="shared" si="9"/>
        <v>#N/A</v>
      </c>
      <c r="AS10" s="121">
        <f t="shared" si="10"/>
        <v>1</v>
      </c>
      <c r="AT10" s="120" t="str">
        <f t="shared" si="11"/>
        <v> </v>
      </c>
      <c r="AU10" s="120" t="str">
        <f t="shared" si="12"/>
        <v> </v>
      </c>
      <c r="AV10" s="120" t="e">
        <f t="shared" si="13"/>
        <v>#N/A</v>
      </c>
      <c r="AW10" s="120" t="e">
        <f t="shared" si="14"/>
        <v>#N/A</v>
      </c>
      <c r="AX10" s="120">
        <f t="shared" si="15"/>
      </c>
      <c r="AY10" s="120" t="e">
        <f t="shared" si="16"/>
        <v>#N/A</v>
      </c>
      <c r="AZ10" s="120" t="e">
        <f>VLOOKUP(AY10,'排出係数表'!$A$4:$C$202,2,FALSE)</f>
        <v>#N/A</v>
      </c>
      <c r="BA10" s="120" t="e">
        <f t="shared" si="17"/>
        <v>#N/A</v>
      </c>
      <c r="BB10" s="120" t="e">
        <f>VLOOKUP(AY10,'排出係数表'!$A$4:$C$202,3,FALSE)</f>
        <v>#N/A</v>
      </c>
      <c r="BC10" s="120" t="e">
        <f t="shared" si="18"/>
        <v>#N/A</v>
      </c>
      <c r="BD10" s="120">
        <f t="shared" si="30"/>
        <v>1</v>
      </c>
      <c r="BE10" s="122">
        <f t="shared" si="19"/>
      </c>
      <c r="BF10" s="123" t="e">
        <f t="shared" si="20"/>
        <v>#VALUE!</v>
      </c>
      <c r="BG10" s="122">
        <f t="shared" si="31"/>
      </c>
      <c r="BH10" s="120" t="e">
        <f t="shared" si="32"/>
        <v>#VALUE!</v>
      </c>
      <c r="BI10" s="120" t="e">
        <f t="shared" si="33"/>
        <v>#VALUE!</v>
      </c>
      <c r="BJ10" s="122" t="e">
        <f>VLOOKUP(AY10,'排出係数表'!$A$4:$D$202,4)</f>
        <v>#N/A</v>
      </c>
      <c r="BK10" s="257">
        <f t="shared" si="34"/>
      </c>
    </row>
    <row r="11" spans="1:63" s="124" customFormat="1" ht="13.5" customHeight="1">
      <c r="A11" s="120"/>
      <c r="B11" s="120"/>
      <c r="C11" s="155"/>
      <c r="D11" s="155"/>
      <c r="E11" s="155"/>
      <c r="F11" s="155"/>
      <c r="G11" s="156"/>
      <c r="H11" s="157"/>
      <c r="I11" s="155"/>
      <c r="J11" s="155"/>
      <c r="K11" s="158"/>
      <c r="L11" s="159"/>
      <c r="M11" s="244"/>
      <c r="N11" s="155"/>
      <c r="O11" s="345">
        <f t="shared" si="21"/>
      </c>
      <c r="P11" s="345">
        <f t="shared" si="0"/>
      </c>
      <c r="Q11" s="508"/>
      <c r="R11" s="346"/>
      <c r="S11" s="347"/>
      <c r="T11" s="348"/>
      <c r="U11" s="347"/>
      <c r="V11" s="348"/>
      <c r="W11" s="347"/>
      <c r="X11" s="348"/>
      <c r="Y11" s="347"/>
      <c r="Z11" s="348"/>
      <c r="AA11" s="340" t="e">
        <f t="shared" si="1"/>
        <v>#N/A</v>
      </c>
      <c r="AB11" s="339">
        <f t="shared" si="22"/>
      </c>
      <c r="AC11" s="339">
        <f t="shared" si="23"/>
      </c>
      <c r="AD11" s="255">
        <f t="shared" si="24"/>
      </c>
      <c r="AE11" s="256">
        <f t="shared" si="25"/>
      </c>
      <c r="AF11" s="256">
        <f t="shared" si="26"/>
      </c>
      <c r="AG11" s="255">
        <f t="shared" si="27"/>
      </c>
      <c r="AH11" s="255">
        <f t="shared" si="2"/>
      </c>
      <c r="AI11" s="255">
        <f t="shared" si="28"/>
      </c>
      <c r="AJ11" s="255">
        <f t="shared" si="29"/>
      </c>
      <c r="AK11" s="255">
        <f t="shared" si="3"/>
      </c>
      <c r="AL11" s="255">
        <f t="shared" si="4"/>
      </c>
      <c r="AM11" s="120">
        <f ca="1" t="shared" si="5"/>
        <v>0</v>
      </c>
      <c r="AN11" s="120" t="e">
        <f t="shared" si="6"/>
        <v>#N/A</v>
      </c>
      <c r="AO11" s="120">
        <f>ROWS($AO$4:AO11)-1</f>
        <v>7</v>
      </c>
      <c r="AP11" s="255" t="e">
        <f t="shared" si="7"/>
        <v>#N/A</v>
      </c>
      <c r="AQ11" s="120" t="e">
        <f t="shared" si="8"/>
        <v>#N/A</v>
      </c>
      <c r="AR11" s="120" t="e">
        <f t="shared" si="9"/>
        <v>#N/A</v>
      </c>
      <c r="AS11" s="121">
        <f t="shared" si="10"/>
        <v>1</v>
      </c>
      <c r="AT11" s="120" t="str">
        <f t="shared" si="11"/>
        <v> </v>
      </c>
      <c r="AU11" s="120" t="str">
        <f t="shared" si="12"/>
        <v> </v>
      </c>
      <c r="AV11" s="120" t="e">
        <f t="shared" si="13"/>
        <v>#N/A</v>
      </c>
      <c r="AW11" s="120" t="e">
        <f t="shared" si="14"/>
        <v>#N/A</v>
      </c>
      <c r="AX11" s="120">
        <f t="shared" si="15"/>
      </c>
      <c r="AY11" s="120" t="e">
        <f t="shared" si="16"/>
        <v>#N/A</v>
      </c>
      <c r="AZ11" s="120" t="e">
        <f>VLOOKUP(AY11,'排出係数表'!$A$4:$C$202,2,FALSE)</f>
        <v>#N/A</v>
      </c>
      <c r="BA11" s="120" t="e">
        <f t="shared" si="17"/>
        <v>#N/A</v>
      </c>
      <c r="BB11" s="120" t="e">
        <f>VLOOKUP(AY11,'排出係数表'!$A$4:$C$202,3,FALSE)</f>
        <v>#N/A</v>
      </c>
      <c r="BC11" s="120" t="e">
        <f t="shared" si="18"/>
        <v>#N/A</v>
      </c>
      <c r="BD11" s="120">
        <f t="shared" si="30"/>
        <v>1</v>
      </c>
      <c r="BE11" s="122">
        <f t="shared" si="19"/>
      </c>
      <c r="BF11" s="123" t="e">
        <f t="shared" si="20"/>
        <v>#VALUE!</v>
      </c>
      <c r="BG11" s="122">
        <f t="shared" si="31"/>
      </c>
      <c r="BH11" s="120" t="e">
        <f t="shared" si="32"/>
        <v>#VALUE!</v>
      </c>
      <c r="BI11" s="120" t="e">
        <f t="shared" si="33"/>
        <v>#VALUE!</v>
      </c>
      <c r="BJ11" s="122" t="e">
        <f>VLOOKUP(AY11,'排出係数表'!$A$4:$D$202,4)</f>
        <v>#N/A</v>
      </c>
      <c r="BK11" s="257">
        <f t="shared" si="34"/>
      </c>
    </row>
    <row r="12" spans="1:63" s="124" customFormat="1" ht="13.5" customHeight="1">
      <c r="A12" s="120"/>
      <c r="B12" s="120"/>
      <c r="C12" s="155"/>
      <c r="D12" s="155"/>
      <c r="E12" s="155"/>
      <c r="F12" s="155"/>
      <c r="G12" s="156"/>
      <c r="H12" s="157"/>
      <c r="I12" s="155"/>
      <c r="J12" s="155"/>
      <c r="K12" s="158"/>
      <c r="L12" s="159"/>
      <c r="M12" s="244"/>
      <c r="N12" s="155"/>
      <c r="O12" s="345">
        <f t="shared" si="21"/>
      </c>
      <c r="P12" s="345">
        <f t="shared" si="0"/>
      </c>
      <c r="Q12" s="508"/>
      <c r="R12" s="346"/>
      <c r="S12" s="347"/>
      <c r="T12" s="348"/>
      <c r="U12" s="347"/>
      <c r="V12" s="348"/>
      <c r="W12" s="347"/>
      <c r="X12" s="348"/>
      <c r="Y12" s="347"/>
      <c r="Z12" s="348"/>
      <c r="AA12" s="340" t="e">
        <f t="shared" si="1"/>
        <v>#N/A</v>
      </c>
      <c r="AB12" s="339">
        <f t="shared" si="22"/>
      </c>
      <c r="AC12" s="339">
        <f t="shared" si="23"/>
      </c>
      <c r="AD12" s="255">
        <f t="shared" si="24"/>
      </c>
      <c r="AE12" s="256">
        <f t="shared" si="25"/>
      </c>
      <c r="AF12" s="256">
        <f t="shared" si="26"/>
      </c>
      <c r="AG12" s="255">
        <f t="shared" si="27"/>
      </c>
      <c r="AH12" s="255">
        <f t="shared" si="2"/>
      </c>
      <c r="AI12" s="255">
        <f t="shared" si="28"/>
      </c>
      <c r="AJ12" s="255">
        <f t="shared" si="29"/>
      </c>
      <c r="AK12" s="255">
        <f t="shared" si="3"/>
      </c>
      <c r="AL12" s="255">
        <f t="shared" si="4"/>
      </c>
      <c r="AM12" s="120">
        <f ca="1" t="shared" si="5"/>
        <v>0</v>
      </c>
      <c r="AN12" s="120" t="e">
        <f t="shared" si="6"/>
        <v>#N/A</v>
      </c>
      <c r="AO12" s="120">
        <f>ROWS($AO$4:AO12)-1</f>
        <v>8</v>
      </c>
      <c r="AP12" s="255" t="e">
        <f t="shared" si="7"/>
        <v>#N/A</v>
      </c>
      <c r="AQ12" s="120" t="e">
        <f t="shared" si="8"/>
        <v>#N/A</v>
      </c>
      <c r="AR12" s="120" t="e">
        <f t="shared" si="9"/>
        <v>#N/A</v>
      </c>
      <c r="AS12" s="121">
        <f t="shared" si="10"/>
        <v>1</v>
      </c>
      <c r="AT12" s="120" t="str">
        <f t="shared" si="11"/>
        <v> </v>
      </c>
      <c r="AU12" s="120" t="str">
        <f t="shared" si="12"/>
        <v> </v>
      </c>
      <c r="AV12" s="120" t="e">
        <f t="shared" si="13"/>
        <v>#N/A</v>
      </c>
      <c r="AW12" s="120" t="e">
        <f t="shared" si="14"/>
        <v>#N/A</v>
      </c>
      <c r="AX12" s="120">
        <f t="shared" si="15"/>
      </c>
      <c r="AY12" s="120" t="e">
        <f t="shared" si="16"/>
        <v>#N/A</v>
      </c>
      <c r="AZ12" s="120" t="e">
        <f>VLOOKUP(AY12,'排出係数表'!$A$4:$C$202,2,FALSE)</f>
        <v>#N/A</v>
      </c>
      <c r="BA12" s="120" t="e">
        <f t="shared" si="17"/>
        <v>#N/A</v>
      </c>
      <c r="BB12" s="120" t="e">
        <f>VLOOKUP(AY12,'排出係数表'!$A$4:$C$202,3,FALSE)</f>
        <v>#N/A</v>
      </c>
      <c r="BC12" s="120" t="e">
        <f t="shared" si="18"/>
        <v>#N/A</v>
      </c>
      <c r="BD12" s="120">
        <f t="shared" si="30"/>
        <v>1</v>
      </c>
      <c r="BE12" s="122">
        <f t="shared" si="19"/>
      </c>
      <c r="BF12" s="123" t="e">
        <f t="shared" si="20"/>
        <v>#VALUE!</v>
      </c>
      <c r="BG12" s="122">
        <f t="shared" si="31"/>
      </c>
      <c r="BH12" s="120" t="e">
        <f t="shared" si="32"/>
        <v>#VALUE!</v>
      </c>
      <c r="BI12" s="120" t="e">
        <f t="shared" si="33"/>
        <v>#VALUE!</v>
      </c>
      <c r="BJ12" s="122" t="e">
        <f>VLOOKUP(AY12,'排出係数表'!$A$4:$D$202,4)</f>
        <v>#N/A</v>
      </c>
      <c r="BK12" s="257">
        <f t="shared" si="34"/>
      </c>
    </row>
    <row r="13" spans="1:63" s="124" customFormat="1" ht="13.5" customHeight="1">
      <c r="A13" s="120"/>
      <c r="B13" s="120"/>
      <c r="C13" s="155"/>
      <c r="D13" s="155"/>
      <c r="E13" s="155"/>
      <c r="F13" s="155"/>
      <c r="G13" s="156"/>
      <c r="H13" s="157"/>
      <c r="I13" s="155"/>
      <c r="J13" s="155"/>
      <c r="K13" s="158"/>
      <c r="L13" s="159"/>
      <c r="M13" s="244"/>
      <c r="N13" s="155"/>
      <c r="O13" s="345">
        <f t="shared" si="21"/>
      </c>
      <c r="P13" s="345">
        <f t="shared" si="0"/>
      </c>
      <c r="Q13" s="508"/>
      <c r="R13" s="346"/>
      <c r="S13" s="347"/>
      <c r="T13" s="348"/>
      <c r="U13" s="347"/>
      <c r="V13" s="348"/>
      <c r="W13" s="347"/>
      <c r="X13" s="348"/>
      <c r="Y13" s="347"/>
      <c r="Z13" s="348"/>
      <c r="AA13" s="340" t="e">
        <f t="shared" si="1"/>
        <v>#N/A</v>
      </c>
      <c r="AB13" s="339">
        <f t="shared" si="22"/>
      </c>
      <c r="AC13" s="339">
        <f t="shared" si="23"/>
      </c>
      <c r="AD13" s="255">
        <f t="shared" si="24"/>
      </c>
      <c r="AE13" s="256">
        <f t="shared" si="25"/>
      </c>
      <c r="AF13" s="256">
        <f t="shared" si="26"/>
      </c>
      <c r="AG13" s="255">
        <f t="shared" si="27"/>
      </c>
      <c r="AH13" s="255">
        <f t="shared" si="2"/>
      </c>
      <c r="AI13" s="255">
        <f t="shared" si="28"/>
      </c>
      <c r="AJ13" s="255">
        <f t="shared" si="29"/>
      </c>
      <c r="AK13" s="255">
        <f t="shared" si="3"/>
      </c>
      <c r="AL13" s="255">
        <f t="shared" si="4"/>
      </c>
      <c r="AM13" s="120">
        <f ca="1" t="shared" si="5"/>
        <v>0</v>
      </c>
      <c r="AN13" s="120" t="e">
        <f t="shared" si="6"/>
        <v>#N/A</v>
      </c>
      <c r="AO13" s="120">
        <f>ROWS($AO$4:AO13)-1</f>
        <v>9</v>
      </c>
      <c r="AP13" s="255" t="e">
        <f t="shared" si="7"/>
        <v>#N/A</v>
      </c>
      <c r="AQ13" s="120" t="e">
        <f t="shared" si="8"/>
        <v>#N/A</v>
      </c>
      <c r="AR13" s="120" t="e">
        <f t="shared" si="9"/>
        <v>#N/A</v>
      </c>
      <c r="AS13" s="121">
        <f t="shared" si="10"/>
        <v>1</v>
      </c>
      <c r="AT13" s="120" t="str">
        <f t="shared" si="11"/>
        <v> </v>
      </c>
      <c r="AU13" s="120" t="str">
        <f t="shared" si="12"/>
        <v> </v>
      </c>
      <c r="AV13" s="120" t="e">
        <f t="shared" si="13"/>
        <v>#N/A</v>
      </c>
      <c r="AW13" s="120" t="e">
        <f t="shared" si="14"/>
        <v>#N/A</v>
      </c>
      <c r="AX13" s="120">
        <f t="shared" si="15"/>
      </c>
      <c r="AY13" s="120" t="e">
        <f t="shared" si="16"/>
        <v>#N/A</v>
      </c>
      <c r="AZ13" s="120" t="e">
        <f>VLOOKUP(AY13,'排出係数表'!$A$4:$C$202,2,FALSE)</f>
        <v>#N/A</v>
      </c>
      <c r="BA13" s="120" t="e">
        <f t="shared" si="17"/>
        <v>#N/A</v>
      </c>
      <c r="BB13" s="120" t="e">
        <f>VLOOKUP(AY13,'排出係数表'!$A$4:$C$202,3,FALSE)</f>
        <v>#N/A</v>
      </c>
      <c r="BC13" s="120" t="e">
        <f t="shared" si="18"/>
        <v>#N/A</v>
      </c>
      <c r="BD13" s="120">
        <f t="shared" si="30"/>
        <v>1</v>
      </c>
      <c r="BE13" s="122">
        <f t="shared" si="19"/>
      </c>
      <c r="BF13" s="123" t="e">
        <f t="shared" si="20"/>
        <v>#VALUE!</v>
      </c>
      <c r="BG13" s="122">
        <f t="shared" si="31"/>
      </c>
      <c r="BH13" s="120" t="e">
        <f t="shared" si="32"/>
        <v>#VALUE!</v>
      </c>
      <c r="BI13" s="120" t="e">
        <f t="shared" si="33"/>
        <v>#VALUE!</v>
      </c>
      <c r="BJ13" s="122" t="e">
        <f>VLOOKUP(AY13,'排出係数表'!$A$4:$D$202,4)</f>
        <v>#N/A</v>
      </c>
      <c r="BK13" s="257">
        <f t="shared" si="34"/>
      </c>
    </row>
    <row r="14" spans="1:63" s="124" customFormat="1" ht="13.5" customHeight="1">
      <c r="A14" s="120"/>
      <c r="B14" s="120"/>
      <c r="C14" s="155"/>
      <c r="D14" s="155"/>
      <c r="E14" s="155"/>
      <c r="F14" s="155"/>
      <c r="G14" s="156"/>
      <c r="H14" s="157"/>
      <c r="I14" s="155"/>
      <c r="J14" s="155"/>
      <c r="K14" s="158"/>
      <c r="L14" s="159"/>
      <c r="M14" s="244"/>
      <c r="N14" s="155"/>
      <c r="O14" s="345">
        <f t="shared" si="21"/>
      </c>
      <c r="P14" s="345">
        <f t="shared" si="0"/>
      </c>
      <c r="Q14" s="508"/>
      <c r="R14" s="346"/>
      <c r="S14" s="347"/>
      <c r="T14" s="348"/>
      <c r="U14" s="347"/>
      <c r="V14" s="348"/>
      <c r="W14" s="347"/>
      <c r="X14" s="348"/>
      <c r="Y14" s="347"/>
      <c r="Z14" s="348"/>
      <c r="AA14" s="340" t="e">
        <f t="shared" si="1"/>
        <v>#N/A</v>
      </c>
      <c r="AB14" s="339">
        <f t="shared" si="22"/>
      </c>
      <c r="AC14" s="339">
        <f t="shared" si="23"/>
      </c>
      <c r="AD14" s="255">
        <f t="shared" si="24"/>
      </c>
      <c r="AE14" s="256">
        <f t="shared" si="25"/>
      </c>
      <c r="AF14" s="256">
        <f t="shared" si="26"/>
      </c>
      <c r="AG14" s="255">
        <f t="shared" si="27"/>
      </c>
      <c r="AH14" s="255">
        <f t="shared" si="2"/>
      </c>
      <c r="AI14" s="255">
        <f t="shared" si="28"/>
      </c>
      <c r="AJ14" s="255">
        <f t="shared" si="29"/>
      </c>
      <c r="AK14" s="255">
        <f t="shared" si="3"/>
      </c>
      <c r="AL14" s="255">
        <f t="shared" si="4"/>
      </c>
      <c r="AM14" s="120">
        <f ca="1" t="shared" si="5"/>
        <v>0</v>
      </c>
      <c r="AN14" s="120" t="e">
        <f t="shared" si="6"/>
        <v>#N/A</v>
      </c>
      <c r="AO14" s="120">
        <f>ROWS($AO$4:AO14)-1</f>
        <v>10</v>
      </c>
      <c r="AP14" s="255" t="e">
        <f t="shared" si="7"/>
        <v>#N/A</v>
      </c>
      <c r="AQ14" s="120" t="e">
        <f t="shared" si="8"/>
        <v>#N/A</v>
      </c>
      <c r="AR14" s="120" t="e">
        <f t="shared" si="9"/>
        <v>#N/A</v>
      </c>
      <c r="AS14" s="121">
        <f t="shared" si="10"/>
        <v>1</v>
      </c>
      <c r="AT14" s="120" t="str">
        <f t="shared" si="11"/>
        <v> </v>
      </c>
      <c r="AU14" s="120" t="str">
        <f t="shared" si="12"/>
        <v> </v>
      </c>
      <c r="AV14" s="120" t="e">
        <f t="shared" si="13"/>
        <v>#N/A</v>
      </c>
      <c r="AW14" s="120" t="e">
        <f t="shared" si="14"/>
        <v>#N/A</v>
      </c>
      <c r="AX14" s="120">
        <f t="shared" si="15"/>
      </c>
      <c r="AY14" s="120" t="e">
        <f t="shared" si="16"/>
        <v>#N/A</v>
      </c>
      <c r="AZ14" s="120" t="e">
        <f>VLOOKUP(AY14,'排出係数表'!$A$4:$C$202,2,FALSE)</f>
        <v>#N/A</v>
      </c>
      <c r="BA14" s="120" t="e">
        <f t="shared" si="17"/>
        <v>#N/A</v>
      </c>
      <c r="BB14" s="120" t="e">
        <f>VLOOKUP(AY14,'排出係数表'!$A$4:$C$202,3,FALSE)</f>
        <v>#N/A</v>
      </c>
      <c r="BC14" s="120" t="e">
        <f t="shared" si="18"/>
        <v>#N/A</v>
      </c>
      <c r="BD14" s="120">
        <f t="shared" si="30"/>
        <v>1</v>
      </c>
      <c r="BE14" s="122">
        <f t="shared" si="19"/>
      </c>
      <c r="BF14" s="123" t="e">
        <f t="shared" si="20"/>
        <v>#VALUE!</v>
      </c>
      <c r="BG14" s="122">
        <f t="shared" si="31"/>
      </c>
      <c r="BH14" s="120" t="e">
        <f t="shared" si="32"/>
        <v>#VALUE!</v>
      </c>
      <c r="BI14" s="120" t="e">
        <f t="shared" si="33"/>
        <v>#VALUE!</v>
      </c>
      <c r="BJ14" s="122" t="e">
        <f>VLOOKUP(AY14,'排出係数表'!$A$4:$D$202,4)</f>
        <v>#N/A</v>
      </c>
      <c r="BK14" s="257">
        <f t="shared" si="34"/>
      </c>
    </row>
    <row r="15" spans="1:63" s="124" customFormat="1" ht="13.5" customHeight="1">
      <c r="A15" s="120"/>
      <c r="B15" s="120"/>
      <c r="C15" s="155"/>
      <c r="D15" s="155"/>
      <c r="E15" s="155"/>
      <c r="F15" s="155"/>
      <c r="G15" s="156"/>
      <c r="H15" s="157"/>
      <c r="I15" s="155"/>
      <c r="J15" s="155"/>
      <c r="K15" s="158"/>
      <c r="L15" s="159"/>
      <c r="M15" s="244"/>
      <c r="N15" s="155"/>
      <c r="O15" s="345">
        <f t="shared" si="21"/>
      </c>
      <c r="P15" s="345">
        <f t="shared" si="0"/>
      </c>
      <c r="Q15" s="508"/>
      <c r="R15" s="346"/>
      <c r="S15" s="347"/>
      <c r="T15" s="348"/>
      <c r="U15" s="347"/>
      <c r="V15" s="348"/>
      <c r="W15" s="347"/>
      <c r="X15" s="348"/>
      <c r="Y15" s="347"/>
      <c r="Z15" s="348"/>
      <c r="AA15" s="340" t="e">
        <f t="shared" si="1"/>
        <v>#N/A</v>
      </c>
      <c r="AB15" s="339">
        <f t="shared" si="22"/>
      </c>
      <c r="AC15" s="339">
        <f t="shared" si="23"/>
      </c>
      <c r="AD15" s="255">
        <f t="shared" si="24"/>
      </c>
      <c r="AE15" s="256">
        <f t="shared" si="25"/>
      </c>
      <c r="AF15" s="256">
        <f t="shared" si="26"/>
      </c>
      <c r="AG15" s="255">
        <f t="shared" si="27"/>
      </c>
      <c r="AH15" s="255">
        <f t="shared" si="2"/>
      </c>
      <c r="AI15" s="255">
        <f t="shared" si="28"/>
      </c>
      <c r="AJ15" s="255">
        <f t="shared" si="29"/>
      </c>
      <c r="AK15" s="255">
        <f t="shared" si="3"/>
      </c>
      <c r="AL15" s="255">
        <f t="shared" si="4"/>
      </c>
      <c r="AM15" s="120">
        <f ca="1" t="shared" si="5"/>
        <v>0</v>
      </c>
      <c r="AN15" s="120" t="e">
        <f t="shared" si="6"/>
        <v>#N/A</v>
      </c>
      <c r="AO15" s="120">
        <f>ROWS($AO$4:AO15)-1</f>
        <v>11</v>
      </c>
      <c r="AP15" s="255" t="e">
        <f t="shared" si="7"/>
        <v>#N/A</v>
      </c>
      <c r="AQ15" s="120" t="e">
        <f t="shared" si="8"/>
        <v>#N/A</v>
      </c>
      <c r="AR15" s="120" t="e">
        <f t="shared" si="9"/>
        <v>#N/A</v>
      </c>
      <c r="AS15" s="121">
        <f t="shared" si="10"/>
        <v>1</v>
      </c>
      <c r="AT15" s="120" t="str">
        <f t="shared" si="11"/>
        <v> </v>
      </c>
      <c r="AU15" s="120" t="str">
        <f t="shared" si="12"/>
        <v> </v>
      </c>
      <c r="AV15" s="120" t="e">
        <f t="shared" si="13"/>
        <v>#N/A</v>
      </c>
      <c r="AW15" s="120" t="e">
        <f t="shared" si="14"/>
        <v>#N/A</v>
      </c>
      <c r="AX15" s="120">
        <f t="shared" si="15"/>
      </c>
      <c r="AY15" s="120" t="e">
        <f t="shared" si="16"/>
        <v>#N/A</v>
      </c>
      <c r="AZ15" s="120" t="e">
        <f>VLOOKUP(AY15,'排出係数表'!$A$4:$C$202,2,FALSE)</f>
        <v>#N/A</v>
      </c>
      <c r="BA15" s="120" t="e">
        <f t="shared" si="17"/>
        <v>#N/A</v>
      </c>
      <c r="BB15" s="120" t="e">
        <f>VLOOKUP(AY15,'排出係数表'!$A$4:$C$202,3,FALSE)</f>
        <v>#N/A</v>
      </c>
      <c r="BC15" s="120" t="e">
        <f t="shared" si="18"/>
        <v>#N/A</v>
      </c>
      <c r="BD15" s="120">
        <f t="shared" si="30"/>
        <v>1</v>
      </c>
      <c r="BE15" s="122">
        <f t="shared" si="19"/>
      </c>
      <c r="BF15" s="123" t="e">
        <f t="shared" si="20"/>
        <v>#VALUE!</v>
      </c>
      <c r="BG15" s="122">
        <f t="shared" si="31"/>
      </c>
      <c r="BH15" s="120" t="e">
        <f t="shared" si="32"/>
        <v>#VALUE!</v>
      </c>
      <c r="BI15" s="120" t="e">
        <f t="shared" si="33"/>
        <v>#VALUE!</v>
      </c>
      <c r="BJ15" s="122" t="e">
        <f>VLOOKUP(AY15,'排出係数表'!$A$4:$D$202,4)</f>
        <v>#N/A</v>
      </c>
      <c r="BK15" s="257">
        <f t="shared" si="34"/>
      </c>
    </row>
    <row r="16" spans="1:63" s="124" customFormat="1" ht="13.5" customHeight="1">
      <c r="A16" s="120"/>
      <c r="B16" s="120"/>
      <c r="C16" s="155"/>
      <c r="D16" s="155"/>
      <c r="E16" s="155"/>
      <c r="F16" s="155"/>
      <c r="G16" s="156"/>
      <c r="H16" s="157"/>
      <c r="I16" s="155"/>
      <c r="J16" s="155"/>
      <c r="K16" s="158"/>
      <c r="L16" s="159"/>
      <c r="M16" s="244"/>
      <c r="N16" s="155"/>
      <c r="O16" s="345">
        <f t="shared" si="21"/>
      </c>
      <c r="P16" s="345">
        <f t="shared" si="0"/>
      </c>
      <c r="Q16" s="508"/>
      <c r="R16" s="346"/>
      <c r="S16" s="347"/>
      <c r="T16" s="348"/>
      <c r="U16" s="347"/>
      <c r="V16" s="348"/>
      <c r="W16" s="347"/>
      <c r="X16" s="348"/>
      <c r="Y16" s="347"/>
      <c r="Z16" s="348"/>
      <c r="AA16" s="340" t="e">
        <f t="shared" si="1"/>
        <v>#N/A</v>
      </c>
      <c r="AB16" s="339">
        <f t="shared" si="22"/>
      </c>
      <c r="AC16" s="339">
        <f t="shared" si="23"/>
      </c>
      <c r="AD16" s="255">
        <f t="shared" si="24"/>
      </c>
      <c r="AE16" s="256">
        <f t="shared" si="25"/>
      </c>
      <c r="AF16" s="256">
        <f t="shared" si="26"/>
      </c>
      <c r="AG16" s="255">
        <f t="shared" si="27"/>
      </c>
      <c r="AH16" s="255">
        <f t="shared" si="2"/>
      </c>
      <c r="AI16" s="255">
        <f t="shared" si="28"/>
      </c>
      <c r="AJ16" s="255">
        <f t="shared" si="29"/>
      </c>
      <c r="AK16" s="255">
        <f t="shared" si="3"/>
      </c>
      <c r="AL16" s="255">
        <f t="shared" si="4"/>
      </c>
      <c r="AM16" s="120">
        <f ca="1" t="shared" si="5"/>
        <v>0</v>
      </c>
      <c r="AN16" s="120" t="e">
        <f t="shared" si="6"/>
        <v>#N/A</v>
      </c>
      <c r="AO16" s="120">
        <f>ROWS($AO$4:AO16)-1</f>
        <v>12</v>
      </c>
      <c r="AP16" s="255" t="e">
        <f t="shared" si="7"/>
        <v>#N/A</v>
      </c>
      <c r="AQ16" s="120" t="e">
        <f t="shared" si="8"/>
        <v>#N/A</v>
      </c>
      <c r="AR16" s="120" t="e">
        <f t="shared" si="9"/>
        <v>#N/A</v>
      </c>
      <c r="AS16" s="121">
        <f t="shared" si="10"/>
        <v>1</v>
      </c>
      <c r="AT16" s="120" t="str">
        <f t="shared" si="11"/>
        <v> </v>
      </c>
      <c r="AU16" s="120" t="str">
        <f t="shared" si="12"/>
        <v> </v>
      </c>
      <c r="AV16" s="120" t="e">
        <f t="shared" si="13"/>
        <v>#N/A</v>
      </c>
      <c r="AW16" s="120" t="e">
        <f t="shared" si="14"/>
        <v>#N/A</v>
      </c>
      <c r="AX16" s="120">
        <f t="shared" si="15"/>
      </c>
      <c r="AY16" s="120" t="e">
        <f t="shared" si="16"/>
        <v>#N/A</v>
      </c>
      <c r="AZ16" s="120" t="e">
        <f>VLOOKUP(AY16,'排出係数表'!$A$4:$C$202,2,FALSE)</f>
        <v>#N/A</v>
      </c>
      <c r="BA16" s="120" t="e">
        <f t="shared" si="17"/>
        <v>#N/A</v>
      </c>
      <c r="BB16" s="120" t="e">
        <f>VLOOKUP(AY16,'排出係数表'!$A$4:$C$202,3,FALSE)</f>
        <v>#N/A</v>
      </c>
      <c r="BC16" s="120" t="e">
        <f t="shared" si="18"/>
        <v>#N/A</v>
      </c>
      <c r="BD16" s="120">
        <f t="shared" si="30"/>
        <v>1</v>
      </c>
      <c r="BE16" s="122">
        <f t="shared" si="19"/>
      </c>
      <c r="BF16" s="123" t="e">
        <f t="shared" si="20"/>
        <v>#VALUE!</v>
      </c>
      <c r="BG16" s="122">
        <f t="shared" si="31"/>
      </c>
      <c r="BH16" s="120" t="e">
        <f t="shared" si="32"/>
        <v>#VALUE!</v>
      </c>
      <c r="BI16" s="120" t="e">
        <f t="shared" si="33"/>
        <v>#VALUE!</v>
      </c>
      <c r="BJ16" s="122" t="e">
        <f>VLOOKUP(AY16,'排出係数表'!$A$4:$D$202,4)</f>
        <v>#N/A</v>
      </c>
      <c r="BK16" s="257">
        <f t="shared" si="34"/>
      </c>
    </row>
    <row r="17" spans="1:63" s="124" customFormat="1" ht="13.5" customHeight="1">
      <c r="A17" s="120"/>
      <c r="B17" s="120"/>
      <c r="C17" s="155"/>
      <c r="D17" s="155"/>
      <c r="E17" s="155"/>
      <c r="F17" s="155"/>
      <c r="G17" s="156"/>
      <c r="H17" s="157"/>
      <c r="I17" s="155"/>
      <c r="J17" s="155"/>
      <c r="K17" s="158"/>
      <c r="L17" s="159"/>
      <c r="M17" s="244"/>
      <c r="N17" s="155"/>
      <c r="O17" s="345">
        <f t="shared" si="21"/>
      </c>
      <c r="P17" s="345">
        <f t="shared" si="0"/>
      </c>
      <c r="Q17" s="508"/>
      <c r="R17" s="346"/>
      <c r="S17" s="347"/>
      <c r="T17" s="348"/>
      <c r="U17" s="347"/>
      <c r="V17" s="348"/>
      <c r="W17" s="347"/>
      <c r="X17" s="348"/>
      <c r="Y17" s="347"/>
      <c r="Z17" s="348"/>
      <c r="AA17" s="340" t="e">
        <f t="shared" si="1"/>
        <v>#N/A</v>
      </c>
      <c r="AB17" s="339">
        <f t="shared" si="22"/>
      </c>
      <c r="AC17" s="339">
        <f t="shared" si="23"/>
      </c>
      <c r="AD17" s="255">
        <f t="shared" si="24"/>
      </c>
      <c r="AE17" s="256">
        <f t="shared" si="25"/>
      </c>
      <c r="AF17" s="256">
        <f t="shared" si="26"/>
      </c>
      <c r="AG17" s="255">
        <f t="shared" si="27"/>
      </c>
      <c r="AH17" s="255">
        <f t="shared" si="2"/>
      </c>
      <c r="AI17" s="255">
        <f t="shared" si="28"/>
      </c>
      <c r="AJ17" s="255">
        <f t="shared" si="29"/>
      </c>
      <c r="AK17" s="255">
        <f t="shared" si="3"/>
      </c>
      <c r="AL17" s="255">
        <f t="shared" si="4"/>
      </c>
      <c r="AM17" s="120">
        <f ca="1" t="shared" si="5"/>
        <v>0</v>
      </c>
      <c r="AN17" s="120" t="e">
        <f t="shared" si="6"/>
        <v>#N/A</v>
      </c>
      <c r="AO17" s="120">
        <f>ROWS($AO$4:AO17)-1</f>
        <v>13</v>
      </c>
      <c r="AP17" s="255" t="e">
        <f t="shared" si="7"/>
        <v>#N/A</v>
      </c>
      <c r="AQ17" s="120" t="e">
        <f t="shared" si="8"/>
        <v>#N/A</v>
      </c>
      <c r="AR17" s="120" t="e">
        <f t="shared" si="9"/>
        <v>#N/A</v>
      </c>
      <c r="AS17" s="121">
        <f t="shared" si="10"/>
        <v>1</v>
      </c>
      <c r="AT17" s="120" t="str">
        <f t="shared" si="11"/>
        <v> </v>
      </c>
      <c r="AU17" s="120" t="str">
        <f t="shared" si="12"/>
        <v> </v>
      </c>
      <c r="AV17" s="120" t="e">
        <f t="shared" si="13"/>
        <v>#N/A</v>
      </c>
      <c r="AW17" s="120" t="e">
        <f t="shared" si="14"/>
        <v>#N/A</v>
      </c>
      <c r="AX17" s="120">
        <f t="shared" si="15"/>
      </c>
      <c r="AY17" s="120" t="e">
        <f t="shared" si="16"/>
        <v>#N/A</v>
      </c>
      <c r="AZ17" s="120" t="e">
        <f>VLOOKUP(AY17,'排出係数表'!$A$4:$C$202,2,FALSE)</f>
        <v>#N/A</v>
      </c>
      <c r="BA17" s="120" t="e">
        <f t="shared" si="17"/>
        <v>#N/A</v>
      </c>
      <c r="BB17" s="120" t="e">
        <f>VLOOKUP(AY17,'排出係数表'!$A$4:$C$202,3,FALSE)</f>
        <v>#N/A</v>
      </c>
      <c r="BC17" s="120" t="e">
        <f t="shared" si="18"/>
        <v>#N/A</v>
      </c>
      <c r="BD17" s="120">
        <f t="shared" si="30"/>
        <v>1</v>
      </c>
      <c r="BE17" s="122">
        <f t="shared" si="19"/>
      </c>
      <c r="BF17" s="123" t="e">
        <f t="shared" si="20"/>
        <v>#VALUE!</v>
      </c>
      <c r="BG17" s="122">
        <f aca="true" t="shared" si="35" ref="BG17:BG80">IF(OR(AL17="",AL17=0),"",CONCATENATE(BF17,AR17,AU17))</f>
      </c>
      <c r="BH17" s="120" t="e">
        <f aca="true" t="shared" si="36" ref="BH17:BH80">AI17&amp;BF17&amp;AR17&amp;AU17</f>
        <v>#VALUE!</v>
      </c>
      <c r="BI17" s="120" t="e">
        <f aca="true" t="shared" si="37" ref="BI17:BI80">AG17&amp;BF17&amp;AR17&amp;AU17</f>
        <v>#VALUE!</v>
      </c>
      <c r="BJ17" s="122" t="e">
        <f>VLOOKUP(AY17,'排出係数表'!$A$4:$D$202,4)</f>
        <v>#N/A</v>
      </c>
      <c r="BK17" s="257">
        <f t="shared" si="34"/>
      </c>
    </row>
    <row r="18" spans="1:63" s="124" customFormat="1" ht="13.5" customHeight="1">
      <c r="A18" s="120"/>
      <c r="B18" s="120"/>
      <c r="C18" s="155"/>
      <c r="D18" s="155"/>
      <c r="E18" s="155"/>
      <c r="F18" s="155"/>
      <c r="G18" s="156"/>
      <c r="H18" s="157"/>
      <c r="I18" s="155"/>
      <c r="J18" s="155"/>
      <c r="K18" s="158"/>
      <c r="L18" s="159"/>
      <c r="M18" s="244"/>
      <c r="N18" s="155"/>
      <c r="O18" s="345">
        <f t="shared" si="21"/>
      </c>
      <c r="P18" s="345">
        <f t="shared" si="0"/>
      </c>
      <c r="Q18" s="508"/>
      <c r="R18" s="346"/>
      <c r="S18" s="347"/>
      <c r="T18" s="348"/>
      <c r="U18" s="347"/>
      <c r="V18" s="348"/>
      <c r="W18" s="347"/>
      <c r="X18" s="348"/>
      <c r="Y18" s="347"/>
      <c r="Z18" s="348"/>
      <c r="AA18" s="340" t="e">
        <f t="shared" si="1"/>
        <v>#N/A</v>
      </c>
      <c r="AB18" s="339">
        <f t="shared" si="22"/>
      </c>
      <c r="AC18" s="339">
        <f t="shared" si="23"/>
      </c>
      <c r="AD18" s="255">
        <f t="shared" si="24"/>
      </c>
      <c r="AE18" s="256">
        <f t="shared" si="25"/>
      </c>
      <c r="AF18" s="256">
        <f t="shared" si="26"/>
      </c>
      <c r="AG18" s="255">
        <f t="shared" si="27"/>
      </c>
      <c r="AH18" s="255">
        <f t="shared" si="2"/>
      </c>
      <c r="AI18" s="255">
        <f t="shared" si="28"/>
      </c>
      <c r="AJ18" s="255">
        <f t="shared" si="29"/>
      </c>
      <c r="AK18" s="255">
        <f t="shared" si="3"/>
      </c>
      <c r="AL18" s="255">
        <f t="shared" si="4"/>
      </c>
      <c r="AM18" s="120">
        <f ca="1" t="shared" si="5"/>
        <v>0</v>
      </c>
      <c r="AN18" s="120" t="e">
        <f t="shared" si="6"/>
        <v>#N/A</v>
      </c>
      <c r="AO18" s="120">
        <f>ROWS($AO$4:AO18)-1</f>
        <v>14</v>
      </c>
      <c r="AP18" s="255" t="e">
        <f t="shared" si="7"/>
        <v>#N/A</v>
      </c>
      <c r="AQ18" s="120" t="e">
        <f t="shared" si="8"/>
        <v>#N/A</v>
      </c>
      <c r="AR18" s="120" t="e">
        <f t="shared" si="9"/>
        <v>#N/A</v>
      </c>
      <c r="AS18" s="121">
        <f t="shared" si="10"/>
        <v>1</v>
      </c>
      <c r="AT18" s="120" t="str">
        <f t="shared" si="11"/>
        <v> </v>
      </c>
      <c r="AU18" s="120" t="str">
        <f t="shared" si="12"/>
        <v> </v>
      </c>
      <c r="AV18" s="120" t="e">
        <f t="shared" si="13"/>
        <v>#N/A</v>
      </c>
      <c r="AW18" s="120" t="e">
        <f t="shared" si="14"/>
        <v>#N/A</v>
      </c>
      <c r="AX18" s="120">
        <f t="shared" si="15"/>
      </c>
      <c r="AY18" s="120" t="e">
        <f t="shared" si="16"/>
        <v>#N/A</v>
      </c>
      <c r="AZ18" s="120" t="e">
        <f>VLOOKUP(AY18,'排出係数表'!$A$4:$C$202,2,FALSE)</f>
        <v>#N/A</v>
      </c>
      <c r="BA18" s="120" t="e">
        <f t="shared" si="17"/>
        <v>#N/A</v>
      </c>
      <c r="BB18" s="120" t="e">
        <f>VLOOKUP(AY18,'排出係数表'!$A$4:$C$202,3,FALSE)</f>
        <v>#N/A</v>
      </c>
      <c r="BC18" s="120" t="e">
        <f t="shared" si="18"/>
        <v>#N/A</v>
      </c>
      <c r="BD18" s="120">
        <f t="shared" si="30"/>
        <v>1</v>
      </c>
      <c r="BE18" s="122">
        <f t="shared" si="19"/>
      </c>
      <c r="BF18" s="123" t="e">
        <f t="shared" si="20"/>
        <v>#VALUE!</v>
      </c>
      <c r="BG18" s="122">
        <f t="shared" si="35"/>
      </c>
      <c r="BH18" s="120" t="e">
        <f t="shared" si="36"/>
        <v>#VALUE!</v>
      </c>
      <c r="BI18" s="120" t="e">
        <f t="shared" si="37"/>
        <v>#VALUE!</v>
      </c>
      <c r="BJ18" s="122" t="e">
        <f>VLOOKUP(AY18,'排出係数表'!$A$4:$D$202,4)</f>
        <v>#N/A</v>
      </c>
      <c r="BK18" s="257">
        <f t="shared" si="34"/>
      </c>
    </row>
    <row r="19" spans="1:63" s="124" customFormat="1" ht="13.5" customHeight="1">
      <c r="A19" s="120"/>
      <c r="B19" s="120"/>
      <c r="C19" s="155"/>
      <c r="D19" s="155"/>
      <c r="E19" s="155"/>
      <c r="F19" s="155"/>
      <c r="G19" s="156"/>
      <c r="H19" s="157"/>
      <c r="I19" s="155"/>
      <c r="J19" s="155"/>
      <c r="K19" s="158"/>
      <c r="L19" s="159"/>
      <c r="M19" s="244"/>
      <c r="N19" s="155"/>
      <c r="O19" s="345">
        <f t="shared" si="21"/>
      </c>
      <c r="P19" s="345">
        <f t="shared" si="0"/>
      </c>
      <c r="Q19" s="508"/>
      <c r="R19" s="346"/>
      <c r="S19" s="347"/>
      <c r="T19" s="348"/>
      <c r="U19" s="347"/>
      <c r="V19" s="348"/>
      <c r="W19" s="347"/>
      <c r="X19" s="348"/>
      <c r="Y19" s="347"/>
      <c r="Z19" s="348"/>
      <c r="AA19" s="340" t="e">
        <f t="shared" si="1"/>
        <v>#N/A</v>
      </c>
      <c r="AB19" s="339">
        <f t="shared" si="22"/>
      </c>
      <c r="AC19" s="339">
        <f t="shared" si="23"/>
      </c>
      <c r="AD19" s="255">
        <f t="shared" si="24"/>
      </c>
      <c r="AE19" s="256">
        <f t="shared" si="25"/>
      </c>
      <c r="AF19" s="256">
        <f t="shared" si="26"/>
      </c>
      <c r="AG19" s="255">
        <f t="shared" si="27"/>
      </c>
      <c r="AH19" s="255">
        <f t="shared" si="2"/>
      </c>
      <c r="AI19" s="255">
        <f t="shared" si="28"/>
      </c>
      <c r="AJ19" s="255">
        <f t="shared" si="29"/>
      </c>
      <c r="AK19" s="255">
        <f t="shared" si="3"/>
      </c>
      <c r="AL19" s="255">
        <f t="shared" si="4"/>
      </c>
      <c r="AM19" s="120">
        <f ca="1" t="shared" si="5"/>
        <v>0</v>
      </c>
      <c r="AN19" s="120" t="e">
        <f t="shared" si="6"/>
        <v>#N/A</v>
      </c>
      <c r="AO19" s="120">
        <f>ROWS($AO$4:AO19)-1</f>
        <v>15</v>
      </c>
      <c r="AP19" s="255" t="e">
        <f t="shared" si="7"/>
        <v>#N/A</v>
      </c>
      <c r="AQ19" s="120" t="e">
        <f t="shared" si="8"/>
        <v>#N/A</v>
      </c>
      <c r="AR19" s="120" t="e">
        <f t="shared" si="9"/>
        <v>#N/A</v>
      </c>
      <c r="AS19" s="121">
        <f t="shared" si="10"/>
        <v>1</v>
      </c>
      <c r="AT19" s="120" t="str">
        <f t="shared" si="11"/>
        <v> </v>
      </c>
      <c r="AU19" s="120" t="str">
        <f t="shared" si="12"/>
        <v> </v>
      </c>
      <c r="AV19" s="120" t="e">
        <f t="shared" si="13"/>
        <v>#N/A</v>
      </c>
      <c r="AW19" s="120" t="e">
        <f t="shared" si="14"/>
        <v>#N/A</v>
      </c>
      <c r="AX19" s="120">
        <f t="shared" si="15"/>
      </c>
      <c r="AY19" s="120" t="e">
        <f t="shared" si="16"/>
        <v>#N/A</v>
      </c>
      <c r="AZ19" s="120" t="e">
        <f>VLOOKUP(AY19,'排出係数表'!$A$4:$C$202,2,FALSE)</f>
        <v>#N/A</v>
      </c>
      <c r="BA19" s="120" t="e">
        <f t="shared" si="17"/>
        <v>#N/A</v>
      </c>
      <c r="BB19" s="120" t="e">
        <f>VLOOKUP(AY19,'排出係数表'!$A$4:$C$202,3,FALSE)</f>
        <v>#N/A</v>
      </c>
      <c r="BC19" s="120" t="e">
        <f t="shared" si="18"/>
        <v>#N/A</v>
      </c>
      <c r="BD19" s="120">
        <f t="shared" si="30"/>
        <v>1</v>
      </c>
      <c r="BE19" s="122">
        <f t="shared" si="19"/>
      </c>
      <c r="BF19" s="123" t="e">
        <f t="shared" si="20"/>
        <v>#VALUE!</v>
      </c>
      <c r="BG19" s="122">
        <f t="shared" si="35"/>
      </c>
      <c r="BH19" s="120" t="e">
        <f t="shared" si="36"/>
        <v>#VALUE!</v>
      </c>
      <c r="BI19" s="120" t="e">
        <f t="shared" si="37"/>
        <v>#VALUE!</v>
      </c>
      <c r="BJ19" s="122" t="e">
        <f>VLOOKUP(AY19,'排出係数表'!$A$4:$D$202,4)</f>
        <v>#N/A</v>
      </c>
      <c r="BK19" s="257">
        <f t="shared" si="34"/>
      </c>
    </row>
    <row r="20" spans="1:68" s="124" customFormat="1" ht="13.5" customHeight="1">
      <c r="A20" s="120"/>
      <c r="B20" s="120"/>
      <c r="C20" s="155"/>
      <c r="D20" s="155"/>
      <c r="E20" s="155"/>
      <c r="F20" s="155"/>
      <c r="G20" s="156"/>
      <c r="H20" s="157"/>
      <c r="I20" s="155"/>
      <c r="J20" s="155"/>
      <c r="K20" s="158"/>
      <c r="L20" s="159"/>
      <c r="M20" s="244"/>
      <c r="N20" s="155"/>
      <c r="O20" s="345">
        <f t="shared" si="21"/>
      </c>
      <c r="P20" s="345">
        <f t="shared" si="0"/>
      </c>
      <c r="Q20" s="508"/>
      <c r="R20" s="346"/>
      <c r="S20" s="347"/>
      <c r="T20" s="348"/>
      <c r="U20" s="347"/>
      <c r="V20" s="348"/>
      <c r="W20" s="347"/>
      <c r="X20" s="348"/>
      <c r="Y20" s="347"/>
      <c r="Z20" s="348"/>
      <c r="AA20" s="340" t="e">
        <f t="shared" si="1"/>
        <v>#N/A</v>
      </c>
      <c r="AB20" s="339">
        <f t="shared" si="22"/>
      </c>
      <c r="AC20" s="339">
        <f t="shared" si="23"/>
      </c>
      <c r="AD20" s="255">
        <f t="shared" si="24"/>
      </c>
      <c r="AE20" s="256">
        <f t="shared" si="25"/>
      </c>
      <c r="AF20" s="256">
        <f t="shared" si="26"/>
      </c>
      <c r="AG20" s="255">
        <f t="shared" si="27"/>
      </c>
      <c r="AH20" s="255">
        <f t="shared" si="2"/>
      </c>
      <c r="AI20" s="255">
        <f t="shared" si="28"/>
      </c>
      <c r="AJ20" s="255">
        <f t="shared" si="29"/>
      </c>
      <c r="AK20" s="255">
        <f t="shared" si="3"/>
      </c>
      <c r="AL20" s="255">
        <f t="shared" si="4"/>
      </c>
      <c r="AM20" s="120">
        <f ca="1" t="shared" si="5"/>
        <v>0</v>
      </c>
      <c r="AN20" s="120" t="e">
        <f t="shared" si="6"/>
        <v>#N/A</v>
      </c>
      <c r="AO20" s="120">
        <f>ROWS($AO$4:AO20)-1</f>
        <v>16</v>
      </c>
      <c r="AP20" s="255" t="e">
        <f t="shared" si="7"/>
        <v>#N/A</v>
      </c>
      <c r="AQ20" s="120" t="e">
        <f t="shared" si="8"/>
        <v>#N/A</v>
      </c>
      <c r="AR20" s="120" t="e">
        <f t="shared" si="9"/>
        <v>#N/A</v>
      </c>
      <c r="AS20" s="121">
        <f t="shared" si="10"/>
        <v>1</v>
      </c>
      <c r="AT20" s="120" t="str">
        <f t="shared" si="11"/>
        <v> </v>
      </c>
      <c r="AU20" s="120" t="str">
        <f t="shared" si="12"/>
        <v> </v>
      </c>
      <c r="AV20" s="120" t="e">
        <f t="shared" si="13"/>
        <v>#N/A</v>
      </c>
      <c r="AW20" s="120" t="e">
        <f t="shared" si="14"/>
        <v>#N/A</v>
      </c>
      <c r="AX20" s="120">
        <f t="shared" si="15"/>
      </c>
      <c r="AY20" s="120" t="e">
        <f t="shared" si="16"/>
        <v>#N/A</v>
      </c>
      <c r="AZ20" s="120" t="e">
        <f>VLOOKUP(AY20,'排出係数表'!$A$4:$C$202,2,FALSE)</f>
        <v>#N/A</v>
      </c>
      <c r="BA20" s="120" t="e">
        <f t="shared" si="17"/>
        <v>#N/A</v>
      </c>
      <c r="BB20" s="120" t="e">
        <f>VLOOKUP(AY20,'排出係数表'!$A$4:$C$202,3,FALSE)</f>
        <v>#N/A</v>
      </c>
      <c r="BC20" s="120" t="e">
        <f t="shared" si="18"/>
        <v>#N/A</v>
      </c>
      <c r="BD20" s="120">
        <f t="shared" si="30"/>
        <v>1</v>
      </c>
      <c r="BE20" s="122">
        <f t="shared" si="19"/>
      </c>
      <c r="BF20" s="123" t="e">
        <f t="shared" si="20"/>
        <v>#VALUE!</v>
      </c>
      <c r="BG20" s="122">
        <f t="shared" si="35"/>
      </c>
      <c r="BH20" s="120" t="e">
        <f t="shared" si="36"/>
        <v>#VALUE!</v>
      </c>
      <c r="BI20" s="120" t="e">
        <f t="shared" si="37"/>
        <v>#VALUE!</v>
      </c>
      <c r="BJ20" s="122" t="e">
        <f>VLOOKUP(AY20,'排出係数表'!$A$4:$D$202,4)</f>
        <v>#N/A</v>
      </c>
      <c r="BK20" s="257">
        <f t="shared" si="34"/>
      </c>
      <c r="BM20" s="126"/>
      <c r="BN20" s="126"/>
      <c r="BO20" s="126"/>
      <c r="BP20" s="126"/>
    </row>
    <row r="21" spans="1:68" s="124" customFormat="1" ht="13.5" customHeight="1">
      <c r="A21" s="120"/>
      <c r="B21" s="120"/>
      <c r="C21" s="155"/>
      <c r="D21" s="155"/>
      <c r="E21" s="155"/>
      <c r="F21" s="155"/>
      <c r="G21" s="156"/>
      <c r="H21" s="157"/>
      <c r="I21" s="155"/>
      <c r="J21" s="155"/>
      <c r="K21" s="158"/>
      <c r="L21" s="159"/>
      <c r="M21" s="244"/>
      <c r="N21" s="155"/>
      <c r="O21" s="345">
        <f t="shared" si="21"/>
      </c>
      <c r="P21" s="345">
        <f t="shared" si="0"/>
      </c>
      <c r="Q21" s="508"/>
      <c r="R21" s="346"/>
      <c r="S21" s="347"/>
      <c r="T21" s="348"/>
      <c r="U21" s="347"/>
      <c r="V21" s="348"/>
      <c r="W21" s="347"/>
      <c r="X21" s="348"/>
      <c r="Y21" s="347"/>
      <c r="Z21" s="348"/>
      <c r="AA21" s="340" t="e">
        <f t="shared" si="1"/>
        <v>#N/A</v>
      </c>
      <c r="AB21" s="339">
        <f t="shared" si="22"/>
      </c>
      <c r="AC21" s="339">
        <f t="shared" si="23"/>
      </c>
      <c r="AD21" s="255">
        <f t="shared" si="24"/>
      </c>
      <c r="AE21" s="256">
        <f t="shared" si="25"/>
      </c>
      <c r="AF21" s="256">
        <f t="shared" si="26"/>
      </c>
      <c r="AG21" s="255">
        <f t="shared" si="27"/>
      </c>
      <c r="AH21" s="255">
        <f t="shared" si="2"/>
      </c>
      <c r="AI21" s="255">
        <f t="shared" si="28"/>
      </c>
      <c r="AJ21" s="255">
        <f t="shared" si="29"/>
      </c>
      <c r="AK21" s="255">
        <f t="shared" si="3"/>
      </c>
      <c r="AL21" s="255">
        <f t="shared" si="4"/>
      </c>
      <c r="AM21" s="120">
        <f ca="1" t="shared" si="5"/>
        <v>0</v>
      </c>
      <c r="AN21" s="120" t="e">
        <f t="shared" si="6"/>
        <v>#N/A</v>
      </c>
      <c r="AO21" s="120">
        <f>ROWS($AO$4:AO21)-1</f>
        <v>17</v>
      </c>
      <c r="AP21" s="255" t="e">
        <f t="shared" si="7"/>
        <v>#N/A</v>
      </c>
      <c r="AQ21" s="120" t="e">
        <f t="shared" si="8"/>
        <v>#N/A</v>
      </c>
      <c r="AR21" s="120" t="e">
        <f t="shared" si="9"/>
        <v>#N/A</v>
      </c>
      <c r="AS21" s="121">
        <f t="shared" si="10"/>
        <v>1</v>
      </c>
      <c r="AT21" s="120" t="str">
        <f t="shared" si="11"/>
        <v> </v>
      </c>
      <c r="AU21" s="120" t="str">
        <f t="shared" si="12"/>
        <v> </v>
      </c>
      <c r="AV21" s="120" t="e">
        <f t="shared" si="13"/>
        <v>#N/A</v>
      </c>
      <c r="AW21" s="120" t="e">
        <f t="shared" si="14"/>
        <v>#N/A</v>
      </c>
      <c r="AX21" s="120">
        <f t="shared" si="15"/>
      </c>
      <c r="AY21" s="120" t="e">
        <f t="shared" si="16"/>
        <v>#N/A</v>
      </c>
      <c r="AZ21" s="120" t="e">
        <f>VLOOKUP(AY21,'排出係数表'!$A$4:$C$202,2,FALSE)</f>
        <v>#N/A</v>
      </c>
      <c r="BA21" s="120" t="e">
        <f t="shared" si="17"/>
        <v>#N/A</v>
      </c>
      <c r="BB21" s="120" t="e">
        <f>VLOOKUP(AY21,'排出係数表'!$A$4:$C$202,3,FALSE)</f>
        <v>#N/A</v>
      </c>
      <c r="BC21" s="120" t="e">
        <f t="shared" si="18"/>
        <v>#N/A</v>
      </c>
      <c r="BD21" s="120">
        <f t="shared" si="30"/>
        <v>1</v>
      </c>
      <c r="BE21" s="122">
        <f t="shared" si="19"/>
      </c>
      <c r="BF21" s="123" t="e">
        <f t="shared" si="20"/>
        <v>#VALUE!</v>
      </c>
      <c r="BG21" s="122">
        <f t="shared" si="35"/>
      </c>
      <c r="BH21" s="120" t="e">
        <f t="shared" si="36"/>
        <v>#VALUE!</v>
      </c>
      <c r="BI21" s="120" t="e">
        <f t="shared" si="37"/>
        <v>#VALUE!</v>
      </c>
      <c r="BJ21" s="122" t="e">
        <f>VLOOKUP(AY21,'排出係数表'!$A$4:$D$202,4)</f>
        <v>#N/A</v>
      </c>
      <c r="BK21" s="257">
        <f t="shared" si="34"/>
      </c>
      <c r="BM21" s="128"/>
      <c r="BN21" s="128"/>
      <c r="BO21" s="128"/>
      <c r="BP21" s="128"/>
    </row>
    <row r="22" spans="1:68" s="124" customFormat="1" ht="13.5" customHeight="1">
      <c r="A22" s="120"/>
      <c r="B22" s="120"/>
      <c r="C22" s="155"/>
      <c r="D22" s="155"/>
      <c r="E22" s="155"/>
      <c r="F22" s="155"/>
      <c r="G22" s="156"/>
      <c r="H22" s="157"/>
      <c r="I22" s="155"/>
      <c r="J22" s="155"/>
      <c r="K22" s="158"/>
      <c r="L22" s="159"/>
      <c r="M22" s="244"/>
      <c r="N22" s="155"/>
      <c r="O22" s="345">
        <f t="shared" si="21"/>
      </c>
      <c r="P22" s="345">
        <f t="shared" si="0"/>
      </c>
      <c r="Q22" s="508"/>
      <c r="R22" s="346"/>
      <c r="S22" s="347"/>
      <c r="T22" s="348"/>
      <c r="U22" s="347"/>
      <c r="V22" s="348"/>
      <c r="W22" s="347"/>
      <c r="X22" s="348"/>
      <c r="Y22" s="347"/>
      <c r="Z22" s="348"/>
      <c r="AA22" s="340" t="e">
        <f t="shared" si="1"/>
        <v>#N/A</v>
      </c>
      <c r="AB22" s="339">
        <f t="shared" si="22"/>
      </c>
      <c r="AC22" s="339">
        <f t="shared" si="23"/>
      </c>
      <c r="AD22" s="255">
        <f t="shared" si="24"/>
      </c>
      <c r="AE22" s="256">
        <f t="shared" si="25"/>
      </c>
      <c r="AF22" s="256">
        <f t="shared" si="26"/>
      </c>
      <c r="AG22" s="255">
        <f t="shared" si="27"/>
      </c>
      <c r="AH22" s="255">
        <f t="shared" si="2"/>
      </c>
      <c r="AI22" s="255">
        <f t="shared" si="28"/>
      </c>
      <c r="AJ22" s="255">
        <f t="shared" si="29"/>
      </c>
      <c r="AK22" s="255">
        <f t="shared" si="3"/>
      </c>
      <c r="AL22" s="255">
        <f t="shared" si="4"/>
      </c>
      <c r="AM22" s="120">
        <f ca="1" t="shared" si="5"/>
        <v>0</v>
      </c>
      <c r="AN22" s="120" t="e">
        <f t="shared" si="6"/>
        <v>#N/A</v>
      </c>
      <c r="AO22" s="120">
        <f>ROWS($AO$4:AO22)-1</f>
        <v>18</v>
      </c>
      <c r="AP22" s="255" t="e">
        <f t="shared" si="7"/>
        <v>#N/A</v>
      </c>
      <c r="AQ22" s="120" t="e">
        <f t="shared" si="8"/>
        <v>#N/A</v>
      </c>
      <c r="AR22" s="120" t="e">
        <f t="shared" si="9"/>
        <v>#N/A</v>
      </c>
      <c r="AS22" s="121">
        <f t="shared" si="10"/>
        <v>1</v>
      </c>
      <c r="AT22" s="120" t="str">
        <f t="shared" si="11"/>
        <v> </v>
      </c>
      <c r="AU22" s="120" t="str">
        <f t="shared" si="12"/>
        <v> </v>
      </c>
      <c r="AV22" s="120" t="e">
        <f t="shared" si="13"/>
        <v>#N/A</v>
      </c>
      <c r="AW22" s="120" t="e">
        <f t="shared" si="14"/>
        <v>#N/A</v>
      </c>
      <c r="AX22" s="120">
        <f t="shared" si="15"/>
      </c>
      <c r="AY22" s="120" t="e">
        <f t="shared" si="16"/>
        <v>#N/A</v>
      </c>
      <c r="AZ22" s="120" t="e">
        <f>VLOOKUP(AY22,'排出係数表'!$A$4:$C$202,2,FALSE)</f>
        <v>#N/A</v>
      </c>
      <c r="BA22" s="120" t="e">
        <f t="shared" si="17"/>
        <v>#N/A</v>
      </c>
      <c r="BB22" s="120" t="e">
        <f>VLOOKUP(AY22,'排出係数表'!$A$4:$C$202,3,FALSE)</f>
        <v>#N/A</v>
      </c>
      <c r="BC22" s="120" t="e">
        <f t="shared" si="18"/>
        <v>#N/A</v>
      </c>
      <c r="BD22" s="120">
        <f t="shared" si="30"/>
        <v>1</v>
      </c>
      <c r="BE22" s="122">
        <f t="shared" si="19"/>
      </c>
      <c r="BF22" s="123" t="e">
        <f t="shared" si="20"/>
        <v>#VALUE!</v>
      </c>
      <c r="BG22" s="122">
        <f t="shared" si="35"/>
      </c>
      <c r="BH22" s="120" t="e">
        <f t="shared" si="36"/>
        <v>#VALUE!</v>
      </c>
      <c r="BI22" s="120" t="e">
        <f t="shared" si="37"/>
        <v>#VALUE!</v>
      </c>
      <c r="BJ22" s="122" t="e">
        <f>VLOOKUP(AY22,'排出係数表'!$A$4:$D$202,4)</f>
        <v>#N/A</v>
      </c>
      <c r="BK22" s="257">
        <f t="shared" si="34"/>
      </c>
      <c r="BM22" s="128"/>
      <c r="BN22" s="128"/>
      <c r="BO22" s="128"/>
      <c r="BP22" s="128"/>
    </row>
    <row r="23" spans="1:68" s="124" customFormat="1" ht="13.5" customHeight="1">
      <c r="A23" s="120"/>
      <c r="B23" s="120"/>
      <c r="C23" s="155"/>
      <c r="D23" s="155"/>
      <c r="E23" s="155"/>
      <c r="F23" s="155"/>
      <c r="G23" s="156"/>
      <c r="H23" s="157"/>
      <c r="I23" s="155"/>
      <c r="J23" s="155"/>
      <c r="K23" s="158"/>
      <c r="L23" s="159"/>
      <c r="M23" s="244"/>
      <c r="N23" s="155"/>
      <c r="O23" s="345">
        <f t="shared" si="21"/>
      </c>
      <c r="P23" s="345">
        <f t="shared" si="0"/>
      </c>
      <c r="Q23" s="508"/>
      <c r="R23" s="346"/>
      <c r="S23" s="347"/>
      <c r="T23" s="348"/>
      <c r="U23" s="347"/>
      <c r="V23" s="348"/>
      <c r="W23" s="347"/>
      <c r="X23" s="348"/>
      <c r="Y23" s="347"/>
      <c r="Z23" s="348"/>
      <c r="AA23" s="340" t="e">
        <f t="shared" si="1"/>
        <v>#N/A</v>
      </c>
      <c r="AB23" s="339">
        <f t="shared" si="22"/>
      </c>
      <c r="AC23" s="339">
        <f t="shared" si="23"/>
      </c>
      <c r="AD23" s="255">
        <f t="shared" si="24"/>
      </c>
      <c r="AE23" s="256">
        <f t="shared" si="25"/>
      </c>
      <c r="AF23" s="256">
        <f t="shared" si="26"/>
      </c>
      <c r="AG23" s="255">
        <f t="shared" si="27"/>
      </c>
      <c r="AH23" s="255">
        <f t="shared" si="2"/>
      </c>
      <c r="AI23" s="255">
        <f t="shared" si="28"/>
      </c>
      <c r="AJ23" s="255">
        <f t="shared" si="29"/>
      </c>
      <c r="AK23" s="255">
        <f t="shared" si="3"/>
      </c>
      <c r="AL23" s="255">
        <f t="shared" si="4"/>
      </c>
      <c r="AM23" s="120">
        <f ca="1" t="shared" si="5"/>
        <v>0</v>
      </c>
      <c r="AN23" s="120" t="e">
        <f t="shared" si="6"/>
        <v>#N/A</v>
      </c>
      <c r="AO23" s="120">
        <f>ROWS($AO$4:AO23)-1</f>
        <v>19</v>
      </c>
      <c r="AP23" s="255" t="e">
        <f t="shared" si="7"/>
        <v>#N/A</v>
      </c>
      <c r="AQ23" s="120" t="e">
        <f t="shared" si="8"/>
        <v>#N/A</v>
      </c>
      <c r="AR23" s="120" t="e">
        <f t="shared" si="9"/>
        <v>#N/A</v>
      </c>
      <c r="AS23" s="121">
        <f t="shared" si="10"/>
        <v>1</v>
      </c>
      <c r="AT23" s="120" t="str">
        <f t="shared" si="11"/>
        <v> </v>
      </c>
      <c r="AU23" s="120" t="str">
        <f t="shared" si="12"/>
        <v> </v>
      </c>
      <c r="AV23" s="120" t="e">
        <f t="shared" si="13"/>
        <v>#N/A</v>
      </c>
      <c r="AW23" s="120" t="e">
        <f t="shared" si="14"/>
        <v>#N/A</v>
      </c>
      <c r="AX23" s="120">
        <f t="shared" si="15"/>
      </c>
      <c r="AY23" s="120" t="e">
        <f t="shared" si="16"/>
        <v>#N/A</v>
      </c>
      <c r="AZ23" s="120" t="e">
        <f>VLOOKUP(AY23,'排出係数表'!$A$4:$C$202,2,FALSE)</f>
        <v>#N/A</v>
      </c>
      <c r="BA23" s="120" t="e">
        <f t="shared" si="17"/>
        <v>#N/A</v>
      </c>
      <c r="BB23" s="120" t="e">
        <f>VLOOKUP(AY23,'排出係数表'!$A$4:$C$202,3,FALSE)</f>
        <v>#N/A</v>
      </c>
      <c r="BC23" s="120" t="e">
        <f t="shared" si="18"/>
        <v>#N/A</v>
      </c>
      <c r="BD23" s="120">
        <f t="shared" si="30"/>
        <v>1</v>
      </c>
      <c r="BE23" s="122">
        <f t="shared" si="19"/>
      </c>
      <c r="BF23" s="123" t="e">
        <f t="shared" si="20"/>
        <v>#VALUE!</v>
      </c>
      <c r="BG23" s="122">
        <f t="shared" si="35"/>
      </c>
      <c r="BH23" s="120" t="e">
        <f t="shared" si="36"/>
        <v>#VALUE!</v>
      </c>
      <c r="BI23" s="120" t="e">
        <f t="shared" si="37"/>
        <v>#VALUE!</v>
      </c>
      <c r="BJ23" s="122" t="e">
        <f>VLOOKUP(AY23,'排出係数表'!$A$4:$D$202,4)</f>
        <v>#N/A</v>
      </c>
      <c r="BK23" s="257">
        <f t="shared" si="34"/>
      </c>
      <c r="BM23" s="128"/>
      <c r="BN23" s="128"/>
      <c r="BO23" s="128"/>
      <c r="BP23" s="128"/>
    </row>
    <row r="24" spans="1:68" s="124" customFormat="1" ht="13.5" customHeight="1">
      <c r="A24" s="120"/>
      <c r="B24" s="120"/>
      <c r="C24" s="155"/>
      <c r="D24" s="155"/>
      <c r="E24" s="155"/>
      <c r="F24" s="155"/>
      <c r="G24" s="156"/>
      <c r="H24" s="157"/>
      <c r="I24" s="155"/>
      <c r="J24" s="155"/>
      <c r="K24" s="158"/>
      <c r="L24" s="159"/>
      <c r="M24" s="244"/>
      <c r="N24" s="155"/>
      <c r="O24" s="345">
        <f t="shared" si="21"/>
      </c>
      <c r="P24" s="345">
        <f t="shared" si="0"/>
      </c>
      <c r="Q24" s="508"/>
      <c r="R24" s="346"/>
      <c r="S24" s="347"/>
      <c r="T24" s="348"/>
      <c r="U24" s="347"/>
      <c r="V24" s="348"/>
      <c r="W24" s="347"/>
      <c r="X24" s="348"/>
      <c r="Y24" s="347"/>
      <c r="Z24" s="348"/>
      <c r="AA24" s="340" t="e">
        <f t="shared" si="1"/>
        <v>#N/A</v>
      </c>
      <c r="AB24" s="339">
        <f t="shared" si="22"/>
      </c>
      <c r="AC24" s="339">
        <f t="shared" si="23"/>
      </c>
      <c r="AD24" s="255">
        <f t="shared" si="24"/>
      </c>
      <c r="AE24" s="256">
        <f t="shared" si="25"/>
      </c>
      <c r="AF24" s="256">
        <f t="shared" si="26"/>
      </c>
      <c r="AG24" s="255">
        <f t="shared" si="27"/>
      </c>
      <c r="AH24" s="255">
        <f t="shared" si="2"/>
      </c>
      <c r="AI24" s="255">
        <f t="shared" si="28"/>
      </c>
      <c r="AJ24" s="255">
        <f t="shared" si="29"/>
      </c>
      <c r="AK24" s="255">
        <f t="shared" si="3"/>
      </c>
      <c r="AL24" s="255">
        <f t="shared" si="4"/>
      </c>
      <c r="AM24" s="120">
        <f ca="1" t="shared" si="5"/>
        <v>0</v>
      </c>
      <c r="AN24" s="120" t="e">
        <f t="shared" si="6"/>
        <v>#N/A</v>
      </c>
      <c r="AO24" s="120">
        <f>ROWS($AO$4:AO24)-1</f>
        <v>20</v>
      </c>
      <c r="AP24" s="255" t="e">
        <f t="shared" si="7"/>
        <v>#N/A</v>
      </c>
      <c r="AQ24" s="120" t="e">
        <f t="shared" si="8"/>
        <v>#N/A</v>
      </c>
      <c r="AR24" s="120" t="e">
        <f t="shared" si="9"/>
        <v>#N/A</v>
      </c>
      <c r="AS24" s="121">
        <f t="shared" si="10"/>
        <v>1</v>
      </c>
      <c r="AT24" s="120" t="str">
        <f t="shared" si="11"/>
        <v> </v>
      </c>
      <c r="AU24" s="120" t="str">
        <f t="shared" si="12"/>
        <v> </v>
      </c>
      <c r="AV24" s="120" t="e">
        <f t="shared" si="13"/>
        <v>#N/A</v>
      </c>
      <c r="AW24" s="120" t="e">
        <f t="shared" si="14"/>
        <v>#N/A</v>
      </c>
      <c r="AX24" s="120">
        <f t="shared" si="15"/>
      </c>
      <c r="AY24" s="120" t="e">
        <f t="shared" si="16"/>
        <v>#N/A</v>
      </c>
      <c r="AZ24" s="120" t="e">
        <f>VLOOKUP(AY24,'排出係数表'!$A$4:$C$202,2,FALSE)</f>
        <v>#N/A</v>
      </c>
      <c r="BA24" s="120" t="e">
        <f t="shared" si="17"/>
        <v>#N/A</v>
      </c>
      <c r="BB24" s="120" t="e">
        <f>VLOOKUP(AY24,'排出係数表'!$A$4:$C$202,3,FALSE)</f>
        <v>#N/A</v>
      </c>
      <c r="BC24" s="120" t="e">
        <f t="shared" si="18"/>
        <v>#N/A</v>
      </c>
      <c r="BD24" s="120">
        <f t="shared" si="30"/>
        <v>1</v>
      </c>
      <c r="BE24" s="122">
        <f t="shared" si="19"/>
      </c>
      <c r="BF24" s="123" t="e">
        <f t="shared" si="20"/>
        <v>#VALUE!</v>
      </c>
      <c r="BG24" s="122">
        <f t="shared" si="35"/>
      </c>
      <c r="BH24" s="120" t="e">
        <f t="shared" si="36"/>
        <v>#VALUE!</v>
      </c>
      <c r="BI24" s="120" t="e">
        <f t="shared" si="37"/>
        <v>#VALUE!</v>
      </c>
      <c r="BJ24" s="122" t="e">
        <f>VLOOKUP(AY24,'排出係数表'!$A$4:$D$202,4)</f>
        <v>#N/A</v>
      </c>
      <c r="BK24" s="257">
        <f t="shared" si="34"/>
      </c>
      <c r="BM24" s="128"/>
      <c r="BN24" s="128"/>
      <c r="BO24" s="128"/>
      <c r="BP24" s="128"/>
    </row>
    <row r="25" spans="1:68" s="124" customFormat="1" ht="13.5" customHeight="1">
      <c r="A25" s="120"/>
      <c r="B25" s="120"/>
      <c r="C25" s="155"/>
      <c r="D25" s="155"/>
      <c r="E25" s="155"/>
      <c r="F25" s="155"/>
      <c r="G25" s="156"/>
      <c r="H25" s="157"/>
      <c r="I25" s="155"/>
      <c r="J25" s="155"/>
      <c r="K25" s="158"/>
      <c r="L25" s="159"/>
      <c r="M25" s="244"/>
      <c r="N25" s="155"/>
      <c r="O25" s="345">
        <f t="shared" si="21"/>
      </c>
      <c r="P25" s="345">
        <f t="shared" si="0"/>
      </c>
      <c r="Q25" s="508"/>
      <c r="R25" s="346"/>
      <c r="S25" s="347"/>
      <c r="T25" s="348"/>
      <c r="U25" s="347"/>
      <c r="V25" s="348"/>
      <c r="W25" s="347"/>
      <c r="X25" s="348"/>
      <c r="Y25" s="347"/>
      <c r="Z25" s="348"/>
      <c r="AA25" s="340" t="e">
        <f t="shared" si="1"/>
        <v>#N/A</v>
      </c>
      <c r="AB25" s="339">
        <f t="shared" si="22"/>
      </c>
      <c r="AC25" s="339">
        <f t="shared" si="23"/>
      </c>
      <c r="AD25" s="255">
        <f t="shared" si="24"/>
      </c>
      <c r="AE25" s="256">
        <f t="shared" si="25"/>
      </c>
      <c r="AF25" s="256">
        <f t="shared" si="26"/>
      </c>
      <c r="AG25" s="255">
        <f t="shared" si="27"/>
      </c>
      <c r="AH25" s="255">
        <f t="shared" si="2"/>
      </c>
      <c r="AI25" s="255">
        <f t="shared" si="28"/>
      </c>
      <c r="AJ25" s="255">
        <f t="shared" si="29"/>
      </c>
      <c r="AK25" s="255">
        <f t="shared" si="3"/>
      </c>
      <c r="AL25" s="255">
        <f t="shared" si="4"/>
      </c>
      <c r="AM25" s="120">
        <f ca="1" t="shared" si="5"/>
        <v>0</v>
      </c>
      <c r="AN25" s="120" t="e">
        <f t="shared" si="6"/>
        <v>#N/A</v>
      </c>
      <c r="AO25" s="120">
        <f>ROWS($AO$4:AO25)-1</f>
        <v>21</v>
      </c>
      <c r="AP25" s="255" t="e">
        <f t="shared" si="7"/>
        <v>#N/A</v>
      </c>
      <c r="AQ25" s="120" t="e">
        <f t="shared" si="8"/>
        <v>#N/A</v>
      </c>
      <c r="AR25" s="120" t="e">
        <f t="shared" si="9"/>
        <v>#N/A</v>
      </c>
      <c r="AS25" s="121">
        <f t="shared" si="10"/>
        <v>1</v>
      </c>
      <c r="AT25" s="120" t="str">
        <f t="shared" si="11"/>
        <v> </v>
      </c>
      <c r="AU25" s="120" t="str">
        <f t="shared" si="12"/>
        <v> </v>
      </c>
      <c r="AV25" s="120" t="e">
        <f t="shared" si="13"/>
        <v>#N/A</v>
      </c>
      <c r="AW25" s="120" t="e">
        <f t="shared" si="14"/>
        <v>#N/A</v>
      </c>
      <c r="AX25" s="120">
        <f t="shared" si="15"/>
      </c>
      <c r="AY25" s="120" t="e">
        <f t="shared" si="16"/>
        <v>#N/A</v>
      </c>
      <c r="AZ25" s="120" t="e">
        <f>VLOOKUP(AY25,'排出係数表'!$A$4:$C$202,2,FALSE)</f>
        <v>#N/A</v>
      </c>
      <c r="BA25" s="120" t="e">
        <f t="shared" si="17"/>
        <v>#N/A</v>
      </c>
      <c r="BB25" s="120" t="e">
        <f>VLOOKUP(AY25,'排出係数表'!$A$4:$C$202,3,FALSE)</f>
        <v>#N/A</v>
      </c>
      <c r="BC25" s="120" t="e">
        <f t="shared" si="18"/>
        <v>#N/A</v>
      </c>
      <c r="BD25" s="120">
        <f t="shared" si="30"/>
        <v>1</v>
      </c>
      <c r="BE25" s="122">
        <f t="shared" si="19"/>
      </c>
      <c r="BF25" s="123" t="e">
        <f t="shared" si="20"/>
        <v>#VALUE!</v>
      </c>
      <c r="BG25" s="122">
        <f t="shared" si="35"/>
      </c>
      <c r="BH25" s="120" t="e">
        <f t="shared" si="36"/>
        <v>#VALUE!</v>
      </c>
      <c r="BI25" s="120" t="e">
        <f t="shared" si="37"/>
        <v>#VALUE!</v>
      </c>
      <c r="BJ25" s="122" t="e">
        <f>VLOOKUP(AY25,'排出係数表'!$A$4:$D$202,4)</f>
        <v>#N/A</v>
      </c>
      <c r="BK25" s="257">
        <f t="shared" si="34"/>
      </c>
      <c r="BM25" s="128"/>
      <c r="BN25" s="128"/>
      <c r="BO25" s="128"/>
      <c r="BP25" s="128"/>
    </row>
    <row r="26" spans="1:68" s="124" customFormat="1" ht="13.5" customHeight="1">
      <c r="A26" s="120"/>
      <c r="B26" s="120"/>
      <c r="C26" s="155"/>
      <c r="D26" s="155"/>
      <c r="E26" s="155"/>
      <c r="F26" s="155"/>
      <c r="G26" s="156"/>
      <c r="H26" s="157"/>
      <c r="I26" s="155"/>
      <c r="J26" s="155"/>
      <c r="K26" s="158"/>
      <c r="L26" s="159"/>
      <c r="M26" s="244"/>
      <c r="N26" s="155"/>
      <c r="O26" s="345">
        <f t="shared" si="21"/>
      </c>
      <c r="P26" s="345">
        <f t="shared" si="0"/>
      </c>
      <c r="Q26" s="508"/>
      <c r="R26" s="346"/>
      <c r="S26" s="347"/>
      <c r="T26" s="348"/>
      <c r="U26" s="347"/>
      <c r="V26" s="348"/>
      <c r="W26" s="347"/>
      <c r="X26" s="348"/>
      <c r="Y26" s="347"/>
      <c r="Z26" s="348"/>
      <c r="AA26" s="340" t="e">
        <f t="shared" si="1"/>
        <v>#N/A</v>
      </c>
      <c r="AB26" s="339">
        <f t="shared" si="22"/>
      </c>
      <c r="AC26" s="339">
        <f t="shared" si="23"/>
      </c>
      <c r="AD26" s="255">
        <f t="shared" si="24"/>
      </c>
      <c r="AE26" s="256">
        <f t="shared" si="25"/>
      </c>
      <c r="AF26" s="256">
        <f t="shared" si="26"/>
      </c>
      <c r="AG26" s="255">
        <f t="shared" si="27"/>
      </c>
      <c r="AH26" s="255">
        <f t="shared" si="2"/>
      </c>
      <c r="AI26" s="255">
        <f t="shared" si="28"/>
      </c>
      <c r="AJ26" s="255">
        <f t="shared" si="29"/>
      </c>
      <c r="AK26" s="255">
        <f t="shared" si="3"/>
      </c>
      <c r="AL26" s="255">
        <f t="shared" si="4"/>
      </c>
      <c r="AM26" s="120">
        <f ca="1" t="shared" si="5"/>
        <v>0</v>
      </c>
      <c r="AN26" s="120" t="e">
        <f t="shared" si="6"/>
        <v>#N/A</v>
      </c>
      <c r="AO26" s="120">
        <f>ROWS($AO$4:AO26)-1</f>
        <v>22</v>
      </c>
      <c r="AP26" s="255" t="e">
        <f t="shared" si="7"/>
        <v>#N/A</v>
      </c>
      <c r="AQ26" s="120" t="e">
        <f t="shared" si="8"/>
        <v>#N/A</v>
      </c>
      <c r="AR26" s="120" t="e">
        <f t="shared" si="9"/>
        <v>#N/A</v>
      </c>
      <c r="AS26" s="121">
        <f t="shared" si="10"/>
        <v>1</v>
      </c>
      <c r="AT26" s="120" t="str">
        <f t="shared" si="11"/>
        <v> </v>
      </c>
      <c r="AU26" s="120" t="str">
        <f t="shared" si="12"/>
        <v> </v>
      </c>
      <c r="AV26" s="120" t="e">
        <f t="shared" si="13"/>
        <v>#N/A</v>
      </c>
      <c r="AW26" s="120" t="e">
        <f t="shared" si="14"/>
        <v>#N/A</v>
      </c>
      <c r="AX26" s="120">
        <f t="shared" si="15"/>
      </c>
      <c r="AY26" s="120" t="e">
        <f t="shared" si="16"/>
        <v>#N/A</v>
      </c>
      <c r="AZ26" s="120" t="e">
        <f>VLOOKUP(AY26,'排出係数表'!$A$4:$C$202,2,FALSE)</f>
        <v>#N/A</v>
      </c>
      <c r="BA26" s="120" t="e">
        <f t="shared" si="17"/>
        <v>#N/A</v>
      </c>
      <c r="BB26" s="120" t="e">
        <f>VLOOKUP(AY26,'排出係数表'!$A$4:$C$202,3,FALSE)</f>
        <v>#N/A</v>
      </c>
      <c r="BC26" s="120" t="e">
        <f t="shared" si="18"/>
        <v>#N/A</v>
      </c>
      <c r="BD26" s="120">
        <f t="shared" si="30"/>
        <v>1</v>
      </c>
      <c r="BE26" s="122">
        <f t="shared" si="19"/>
      </c>
      <c r="BF26" s="123" t="e">
        <f t="shared" si="20"/>
        <v>#VALUE!</v>
      </c>
      <c r="BG26" s="122">
        <f t="shared" si="35"/>
      </c>
      <c r="BH26" s="120" t="e">
        <f t="shared" si="36"/>
        <v>#VALUE!</v>
      </c>
      <c r="BI26" s="120" t="e">
        <f t="shared" si="37"/>
        <v>#VALUE!</v>
      </c>
      <c r="BJ26" s="122" t="e">
        <f>VLOOKUP(AY26,'排出係数表'!$A$4:$D$202,4)</f>
        <v>#N/A</v>
      </c>
      <c r="BK26" s="257">
        <f t="shared" si="34"/>
      </c>
      <c r="BM26" s="128"/>
      <c r="BN26" s="128"/>
      <c r="BO26" s="128"/>
      <c r="BP26" s="128"/>
    </row>
    <row r="27" spans="1:68" s="124" customFormat="1" ht="13.5" customHeight="1">
      <c r="A27" s="120"/>
      <c r="B27" s="120"/>
      <c r="C27" s="155"/>
      <c r="D27" s="155"/>
      <c r="E27" s="155"/>
      <c r="F27" s="155"/>
      <c r="G27" s="156"/>
      <c r="H27" s="157"/>
      <c r="I27" s="155"/>
      <c r="J27" s="155"/>
      <c r="K27" s="158"/>
      <c r="L27" s="159"/>
      <c r="M27" s="244"/>
      <c r="N27" s="155"/>
      <c r="O27" s="345">
        <f t="shared" si="21"/>
      </c>
      <c r="P27" s="345">
        <f t="shared" si="0"/>
      </c>
      <c r="Q27" s="508"/>
      <c r="R27" s="346"/>
      <c r="S27" s="347"/>
      <c r="T27" s="348"/>
      <c r="U27" s="347"/>
      <c r="V27" s="348"/>
      <c r="W27" s="347"/>
      <c r="X27" s="348"/>
      <c r="Y27" s="347"/>
      <c r="Z27" s="348"/>
      <c r="AA27" s="340" t="e">
        <f t="shared" si="1"/>
        <v>#N/A</v>
      </c>
      <c r="AB27" s="339">
        <f t="shared" si="22"/>
      </c>
      <c r="AC27" s="339">
        <f t="shared" si="23"/>
      </c>
      <c r="AD27" s="255">
        <f t="shared" si="24"/>
      </c>
      <c r="AE27" s="256">
        <f t="shared" si="25"/>
      </c>
      <c r="AF27" s="256">
        <f t="shared" si="26"/>
      </c>
      <c r="AG27" s="255">
        <f t="shared" si="27"/>
      </c>
      <c r="AH27" s="255">
        <f t="shared" si="2"/>
      </c>
      <c r="AI27" s="255">
        <f t="shared" si="28"/>
      </c>
      <c r="AJ27" s="255">
        <f t="shared" si="29"/>
      </c>
      <c r="AK27" s="255">
        <f t="shared" si="3"/>
      </c>
      <c r="AL27" s="255">
        <f t="shared" si="4"/>
      </c>
      <c r="AM27" s="120">
        <f ca="1" t="shared" si="5"/>
        <v>0</v>
      </c>
      <c r="AN27" s="120" t="e">
        <f t="shared" si="6"/>
        <v>#N/A</v>
      </c>
      <c r="AO27" s="120">
        <f>ROWS($AO$4:AO27)-1</f>
        <v>23</v>
      </c>
      <c r="AP27" s="255" t="e">
        <f t="shared" si="7"/>
        <v>#N/A</v>
      </c>
      <c r="AQ27" s="120" t="e">
        <f t="shared" si="8"/>
        <v>#N/A</v>
      </c>
      <c r="AR27" s="120" t="e">
        <f t="shared" si="9"/>
        <v>#N/A</v>
      </c>
      <c r="AS27" s="121">
        <f t="shared" si="10"/>
        <v>1</v>
      </c>
      <c r="AT27" s="120" t="str">
        <f t="shared" si="11"/>
        <v> </v>
      </c>
      <c r="AU27" s="120" t="str">
        <f t="shared" si="12"/>
        <v> </v>
      </c>
      <c r="AV27" s="120" t="e">
        <f t="shared" si="13"/>
        <v>#N/A</v>
      </c>
      <c r="AW27" s="120" t="e">
        <f t="shared" si="14"/>
        <v>#N/A</v>
      </c>
      <c r="AX27" s="120">
        <f t="shared" si="15"/>
      </c>
      <c r="AY27" s="120" t="e">
        <f t="shared" si="16"/>
        <v>#N/A</v>
      </c>
      <c r="AZ27" s="120" t="e">
        <f>VLOOKUP(AY27,'排出係数表'!$A$4:$C$202,2,FALSE)</f>
        <v>#N/A</v>
      </c>
      <c r="BA27" s="120" t="e">
        <f t="shared" si="17"/>
        <v>#N/A</v>
      </c>
      <c r="BB27" s="120" t="e">
        <f>VLOOKUP(AY27,'排出係数表'!$A$4:$C$202,3,FALSE)</f>
        <v>#N/A</v>
      </c>
      <c r="BC27" s="120" t="e">
        <f t="shared" si="18"/>
        <v>#N/A</v>
      </c>
      <c r="BD27" s="120">
        <f t="shared" si="30"/>
        <v>1</v>
      </c>
      <c r="BE27" s="122">
        <f t="shared" si="19"/>
      </c>
      <c r="BF27" s="123" t="e">
        <f t="shared" si="20"/>
        <v>#VALUE!</v>
      </c>
      <c r="BG27" s="122">
        <f t="shared" si="35"/>
      </c>
      <c r="BH27" s="120" t="e">
        <f t="shared" si="36"/>
        <v>#VALUE!</v>
      </c>
      <c r="BI27" s="120" t="e">
        <f t="shared" si="37"/>
        <v>#VALUE!</v>
      </c>
      <c r="BJ27" s="122" t="e">
        <f>VLOOKUP(AY27,'排出係数表'!$A$4:$D$202,4)</f>
        <v>#N/A</v>
      </c>
      <c r="BK27" s="257">
        <f t="shared" si="34"/>
      </c>
      <c r="BM27" s="128"/>
      <c r="BN27" s="128"/>
      <c r="BO27" s="128"/>
      <c r="BP27" s="128"/>
    </row>
    <row r="28" spans="1:68" s="124" customFormat="1" ht="13.5" customHeight="1">
      <c r="A28" s="120"/>
      <c r="B28" s="120"/>
      <c r="C28" s="155"/>
      <c r="D28" s="155"/>
      <c r="E28" s="155"/>
      <c r="F28" s="155"/>
      <c r="G28" s="156"/>
      <c r="H28" s="157"/>
      <c r="I28" s="155"/>
      <c r="J28" s="155"/>
      <c r="K28" s="158"/>
      <c r="L28" s="159"/>
      <c r="M28" s="244"/>
      <c r="N28" s="155"/>
      <c r="O28" s="345">
        <f t="shared" si="21"/>
      </c>
      <c r="P28" s="345">
        <f t="shared" si="0"/>
      </c>
      <c r="Q28" s="508"/>
      <c r="R28" s="346"/>
      <c r="S28" s="347"/>
      <c r="T28" s="348"/>
      <c r="U28" s="347"/>
      <c r="V28" s="348"/>
      <c r="W28" s="347"/>
      <c r="X28" s="348"/>
      <c r="Y28" s="347"/>
      <c r="Z28" s="348"/>
      <c r="AA28" s="340" t="e">
        <f t="shared" si="1"/>
        <v>#N/A</v>
      </c>
      <c r="AB28" s="339">
        <f t="shared" si="22"/>
      </c>
      <c r="AC28" s="339">
        <f t="shared" si="23"/>
      </c>
      <c r="AD28" s="255">
        <f t="shared" si="24"/>
      </c>
      <c r="AE28" s="256">
        <f t="shared" si="25"/>
      </c>
      <c r="AF28" s="256">
        <f t="shared" si="26"/>
      </c>
      <c r="AG28" s="255">
        <f t="shared" si="27"/>
      </c>
      <c r="AH28" s="255">
        <f t="shared" si="2"/>
      </c>
      <c r="AI28" s="255">
        <f t="shared" si="28"/>
      </c>
      <c r="AJ28" s="255">
        <f t="shared" si="29"/>
      </c>
      <c r="AK28" s="255">
        <f t="shared" si="3"/>
      </c>
      <c r="AL28" s="255">
        <f t="shared" si="4"/>
      </c>
      <c r="AM28" s="120">
        <f ca="1" t="shared" si="5"/>
        <v>0</v>
      </c>
      <c r="AN28" s="120" t="e">
        <f t="shared" si="6"/>
        <v>#N/A</v>
      </c>
      <c r="AO28" s="120">
        <f>ROWS($AO$4:AO28)-1</f>
        <v>24</v>
      </c>
      <c r="AP28" s="255" t="e">
        <f t="shared" si="7"/>
        <v>#N/A</v>
      </c>
      <c r="AQ28" s="120" t="e">
        <f t="shared" si="8"/>
        <v>#N/A</v>
      </c>
      <c r="AR28" s="120" t="e">
        <f t="shared" si="9"/>
        <v>#N/A</v>
      </c>
      <c r="AS28" s="121">
        <f t="shared" si="10"/>
        <v>1</v>
      </c>
      <c r="AT28" s="120" t="str">
        <f t="shared" si="11"/>
        <v> </v>
      </c>
      <c r="AU28" s="120" t="str">
        <f t="shared" si="12"/>
        <v> </v>
      </c>
      <c r="AV28" s="120" t="e">
        <f t="shared" si="13"/>
        <v>#N/A</v>
      </c>
      <c r="AW28" s="120" t="e">
        <f t="shared" si="14"/>
        <v>#N/A</v>
      </c>
      <c r="AX28" s="120">
        <f t="shared" si="15"/>
      </c>
      <c r="AY28" s="120" t="e">
        <f t="shared" si="16"/>
        <v>#N/A</v>
      </c>
      <c r="AZ28" s="120" t="e">
        <f>VLOOKUP(AY28,'排出係数表'!$A$4:$C$202,2,FALSE)</f>
        <v>#N/A</v>
      </c>
      <c r="BA28" s="120" t="e">
        <f t="shared" si="17"/>
        <v>#N/A</v>
      </c>
      <c r="BB28" s="120" t="e">
        <f>VLOOKUP(AY28,'排出係数表'!$A$4:$C$202,3,FALSE)</f>
        <v>#N/A</v>
      </c>
      <c r="BC28" s="120" t="e">
        <f t="shared" si="18"/>
        <v>#N/A</v>
      </c>
      <c r="BD28" s="120">
        <f t="shared" si="30"/>
        <v>1</v>
      </c>
      <c r="BE28" s="122">
        <f t="shared" si="19"/>
      </c>
      <c r="BF28" s="123" t="e">
        <f t="shared" si="20"/>
        <v>#VALUE!</v>
      </c>
      <c r="BG28" s="122">
        <f t="shared" si="35"/>
      </c>
      <c r="BH28" s="120" t="e">
        <f t="shared" si="36"/>
        <v>#VALUE!</v>
      </c>
      <c r="BI28" s="120" t="e">
        <f t="shared" si="37"/>
        <v>#VALUE!</v>
      </c>
      <c r="BJ28" s="122" t="e">
        <f>VLOOKUP(AY28,'排出係数表'!$A$4:$D$202,4)</f>
        <v>#N/A</v>
      </c>
      <c r="BK28" s="257">
        <f t="shared" si="34"/>
      </c>
      <c r="BM28" s="128"/>
      <c r="BN28" s="128"/>
      <c r="BO28" s="128"/>
      <c r="BP28" s="128"/>
    </row>
    <row r="29" spans="1:68" s="124" customFormat="1" ht="13.5" customHeight="1">
      <c r="A29" s="120"/>
      <c r="B29" s="120"/>
      <c r="C29" s="155"/>
      <c r="D29" s="155"/>
      <c r="E29" s="155"/>
      <c r="F29" s="155"/>
      <c r="G29" s="156"/>
      <c r="H29" s="157"/>
      <c r="I29" s="155"/>
      <c r="J29" s="155"/>
      <c r="K29" s="158"/>
      <c r="L29" s="159"/>
      <c r="M29" s="244"/>
      <c r="N29" s="155"/>
      <c r="O29" s="345">
        <f t="shared" si="21"/>
      </c>
      <c r="P29" s="345">
        <f t="shared" si="0"/>
      </c>
      <c r="Q29" s="508"/>
      <c r="R29" s="346"/>
      <c r="S29" s="347"/>
      <c r="T29" s="348"/>
      <c r="U29" s="347"/>
      <c r="V29" s="348"/>
      <c r="W29" s="347"/>
      <c r="X29" s="348"/>
      <c r="Y29" s="347"/>
      <c r="Z29" s="348"/>
      <c r="AA29" s="340" t="e">
        <f t="shared" si="1"/>
        <v>#N/A</v>
      </c>
      <c r="AB29" s="339">
        <f t="shared" si="22"/>
      </c>
      <c r="AC29" s="339">
        <f t="shared" si="23"/>
      </c>
      <c r="AD29" s="255">
        <f t="shared" si="24"/>
      </c>
      <c r="AE29" s="256">
        <f t="shared" si="25"/>
      </c>
      <c r="AF29" s="256">
        <f t="shared" si="26"/>
      </c>
      <c r="AG29" s="255">
        <f t="shared" si="27"/>
      </c>
      <c r="AH29" s="255">
        <f t="shared" si="2"/>
      </c>
      <c r="AI29" s="255">
        <f t="shared" si="28"/>
      </c>
      <c r="AJ29" s="255">
        <f t="shared" si="29"/>
      </c>
      <c r="AK29" s="255">
        <f t="shared" si="3"/>
      </c>
      <c r="AL29" s="255">
        <f t="shared" si="4"/>
      </c>
      <c r="AM29" s="120">
        <f ca="1" t="shared" si="5"/>
        <v>0</v>
      </c>
      <c r="AN29" s="120" t="e">
        <f t="shared" si="6"/>
        <v>#N/A</v>
      </c>
      <c r="AO29" s="120">
        <f>ROWS($AO$4:AO29)-1</f>
        <v>25</v>
      </c>
      <c r="AP29" s="255" t="e">
        <f t="shared" si="7"/>
        <v>#N/A</v>
      </c>
      <c r="AQ29" s="120" t="e">
        <f t="shared" si="8"/>
        <v>#N/A</v>
      </c>
      <c r="AR29" s="120" t="e">
        <f t="shared" si="9"/>
        <v>#N/A</v>
      </c>
      <c r="AS29" s="121">
        <f t="shared" si="10"/>
        <v>1</v>
      </c>
      <c r="AT29" s="120" t="str">
        <f t="shared" si="11"/>
        <v> </v>
      </c>
      <c r="AU29" s="120" t="str">
        <f t="shared" si="12"/>
        <v> </v>
      </c>
      <c r="AV29" s="120" t="e">
        <f t="shared" si="13"/>
        <v>#N/A</v>
      </c>
      <c r="AW29" s="120" t="e">
        <f t="shared" si="14"/>
        <v>#N/A</v>
      </c>
      <c r="AX29" s="120">
        <f t="shared" si="15"/>
      </c>
      <c r="AY29" s="120" t="e">
        <f t="shared" si="16"/>
        <v>#N/A</v>
      </c>
      <c r="AZ29" s="120" t="e">
        <f>VLOOKUP(AY29,'排出係数表'!$A$4:$C$202,2,FALSE)</f>
        <v>#N/A</v>
      </c>
      <c r="BA29" s="120" t="e">
        <f t="shared" si="17"/>
        <v>#N/A</v>
      </c>
      <c r="BB29" s="120" t="e">
        <f>VLOOKUP(AY29,'排出係数表'!$A$4:$C$202,3,FALSE)</f>
        <v>#N/A</v>
      </c>
      <c r="BC29" s="120" t="e">
        <f t="shared" si="18"/>
        <v>#N/A</v>
      </c>
      <c r="BD29" s="120">
        <f t="shared" si="30"/>
        <v>1</v>
      </c>
      <c r="BE29" s="122">
        <f t="shared" si="19"/>
      </c>
      <c r="BF29" s="123" t="e">
        <f t="shared" si="20"/>
        <v>#VALUE!</v>
      </c>
      <c r="BG29" s="122">
        <f t="shared" si="35"/>
      </c>
      <c r="BH29" s="120" t="e">
        <f t="shared" si="36"/>
        <v>#VALUE!</v>
      </c>
      <c r="BI29" s="120" t="e">
        <f t="shared" si="37"/>
        <v>#VALUE!</v>
      </c>
      <c r="BJ29" s="122" t="e">
        <f>VLOOKUP(AY29,'排出係数表'!$A$4:$D$202,4)</f>
        <v>#N/A</v>
      </c>
      <c r="BK29" s="257">
        <f t="shared" si="34"/>
      </c>
      <c r="BM29" s="128"/>
      <c r="BN29" s="128"/>
      <c r="BO29" s="128"/>
      <c r="BP29" s="128"/>
    </row>
    <row r="30" spans="1:68" s="124" customFormat="1" ht="13.5" customHeight="1">
      <c r="A30" s="120"/>
      <c r="B30" s="120"/>
      <c r="C30" s="155"/>
      <c r="D30" s="155"/>
      <c r="E30" s="155"/>
      <c r="F30" s="155"/>
      <c r="G30" s="156"/>
      <c r="H30" s="157"/>
      <c r="I30" s="155"/>
      <c r="J30" s="155"/>
      <c r="K30" s="158"/>
      <c r="L30" s="159"/>
      <c r="M30" s="244"/>
      <c r="N30" s="155"/>
      <c r="O30" s="345">
        <f t="shared" si="21"/>
      </c>
      <c r="P30" s="345">
        <f t="shared" si="0"/>
      </c>
      <c r="Q30" s="508"/>
      <c r="R30" s="346"/>
      <c r="S30" s="347"/>
      <c r="T30" s="348"/>
      <c r="U30" s="347"/>
      <c r="V30" s="348"/>
      <c r="W30" s="347"/>
      <c r="X30" s="348"/>
      <c r="Y30" s="347"/>
      <c r="Z30" s="348"/>
      <c r="AA30" s="340" t="e">
        <f t="shared" si="1"/>
        <v>#N/A</v>
      </c>
      <c r="AB30" s="339">
        <f t="shared" si="22"/>
      </c>
      <c r="AC30" s="339">
        <f t="shared" si="23"/>
      </c>
      <c r="AD30" s="255">
        <f t="shared" si="24"/>
      </c>
      <c r="AE30" s="256">
        <f t="shared" si="25"/>
      </c>
      <c r="AF30" s="256">
        <f t="shared" si="26"/>
      </c>
      <c r="AG30" s="255">
        <f t="shared" si="27"/>
      </c>
      <c r="AH30" s="255">
        <f t="shared" si="2"/>
      </c>
      <c r="AI30" s="255">
        <f t="shared" si="28"/>
      </c>
      <c r="AJ30" s="255">
        <f t="shared" si="29"/>
      </c>
      <c r="AK30" s="255">
        <f t="shared" si="3"/>
      </c>
      <c r="AL30" s="255">
        <f t="shared" si="4"/>
      </c>
      <c r="AM30" s="120">
        <f ca="1" t="shared" si="5"/>
        <v>0</v>
      </c>
      <c r="AN30" s="120" t="e">
        <f t="shared" si="6"/>
        <v>#N/A</v>
      </c>
      <c r="AO30" s="120">
        <f>ROWS($AO$4:AO30)-1</f>
        <v>26</v>
      </c>
      <c r="AP30" s="255" t="e">
        <f t="shared" si="7"/>
        <v>#N/A</v>
      </c>
      <c r="AQ30" s="120" t="e">
        <f t="shared" si="8"/>
        <v>#N/A</v>
      </c>
      <c r="AR30" s="120" t="e">
        <f t="shared" si="9"/>
        <v>#N/A</v>
      </c>
      <c r="AS30" s="121">
        <f t="shared" si="10"/>
        <v>1</v>
      </c>
      <c r="AT30" s="120" t="str">
        <f t="shared" si="11"/>
        <v> </v>
      </c>
      <c r="AU30" s="120" t="str">
        <f t="shared" si="12"/>
        <v> </v>
      </c>
      <c r="AV30" s="120" t="e">
        <f t="shared" si="13"/>
        <v>#N/A</v>
      </c>
      <c r="AW30" s="120" t="e">
        <f t="shared" si="14"/>
        <v>#N/A</v>
      </c>
      <c r="AX30" s="120">
        <f t="shared" si="15"/>
      </c>
      <c r="AY30" s="120" t="e">
        <f t="shared" si="16"/>
        <v>#N/A</v>
      </c>
      <c r="AZ30" s="120" t="e">
        <f>VLOOKUP(AY30,'排出係数表'!$A$4:$C$202,2,FALSE)</f>
        <v>#N/A</v>
      </c>
      <c r="BA30" s="120" t="e">
        <f t="shared" si="17"/>
        <v>#N/A</v>
      </c>
      <c r="BB30" s="120" t="e">
        <f>VLOOKUP(AY30,'排出係数表'!$A$4:$C$202,3,FALSE)</f>
        <v>#N/A</v>
      </c>
      <c r="BC30" s="120" t="e">
        <f t="shared" si="18"/>
        <v>#N/A</v>
      </c>
      <c r="BD30" s="120">
        <f t="shared" si="30"/>
        <v>1</v>
      </c>
      <c r="BE30" s="122">
        <f t="shared" si="19"/>
      </c>
      <c r="BF30" s="123" t="e">
        <f t="shared" si="20"/>
        <v>#VALUE!</v>
      </c>
      <c r="BG30" s="122">
        <f t="shared" si="35"/>
      </c>
      <c r="BH30" s="120" t="e">
        <f t="shared" si="36"/>
        <v>#VALUE!</v>
      </c>
      <c r="BI30" s="120" t="e">
        <f t="shared" si="37"/>
        <v>#VALUE!</v>
      </c>
      <c r="BJ30" s="122" t="e">
        <f>VLOOKUP(AY30,'排出係数表'!$A$4:$D$202,4)</f>
        <v>#N/A</v>
      </c>
      <c r="BK30" s="257">
        <f t="shared" si="34"/>
      </c>
      <c r="BM30" s="128"/>
      <c r="BN30" s="128"/>
      <c r="BO30" s="128"/>
      <c r="BP30" s="128"/>
    </row>
    <row r="31" spans="1:68" s="124" customFormat="1" ht="13.5" customHeight="1">
      <c r="A31" s="120"/>
      <c r="B31" s="120"/>
      <c r="C31" s="155"/>
      <c r="D31" s="155"/>
      <c r="E31" s="155"/>
      <c r="F31" s="155"/>
      <c r="G31" s="156"/>
      <c r="H31" s="157"/>
      <c r="I31" s="155"/>
      <c r="J31" s="155"/>
      <c r="K31" s="158"/>
      <c r="L31" s="159"/>
      <c r="M31" s="244"/>
      <c r="N31" s="155"/>
      <c r="O31" s="345">
        <f t="shared" si="21"/>
      </c>
      <c r="P31" s="345">
        <f t="shared" si="0"/>
      </c>
      <c r="Q31" s="508"/>
      <c r="R31" s="346"/>
      <c r="S31" s="347"/>
      <c r="T31" s="348"/>
      <c r="U31" s="347"/>
      <c r="V31" s="348"/>
      <c r="W31" s="347"/>
      <c r="X31" s="348"/>
      <c r="Y31" s="347"/>
      <c r="Z31" s="348"/>
      <c r="AA31" s="340" t="e">
        <f t="shared" si="1"/>
        <v>#N/A</v>
      </c>
      <c r="AB31" s="339">
        <f t="shared" si="22"/>
      </c>
      <c r="AC31" s="339">
        <f t="shared" si="23"/>
      </c>
      <c r="AD31" s="255">
        <f t="shared" si="24"/>
      </c>
      <c r="AE31" s="256">
        <f t="shared" si="25"/>
      </c>
      <c r="AF31" s="256">
        <f t="shared" si="26"/>
      </c>
      <c r="AG31" s="255">
        <f t="shared" si="27"/>
      </c>
      <c r="AH31" s="255">
        <f t="shared" si="2"/>
      </c>
      <c r="AI31" s="255">
        <f t="shared" si="28"/>
      </c>
      <c r="AJ31" s="255">
        <f t="shared" si="29"/>
      </c>
      <c r="AK31" s="255">
        <f t="shared" si="3"/>
      </c>
      <c r="AL31" s="255">
        <f t="shared" si="4"/>
      </c>
      <c r="AM31" s="120">
        <f ca="1" t="shared" si="5"/>
        <v>0</v>
      </c>
      <c r="AN31" s="120" t="e">
        <f t="shared" si="6"/>
        <v>#N/A</v>
      </c>
      <c r="AO31" s="120">
        <f>ROWS($AO$4:AO31)-1</f>
        <v>27</v>
      </c>
      <c r="AP31" s="255" t="e">
        <f t="shared" si="7"/>
        <v>#N/A</v>
      </c>
      <c r="AQ31" s="120" t="e">
        <f t="shared" si="8"/>
        <v>#N/A</v>
      </c>
      <c r="AR31" s="120" t="e">
        <f t="shared" si="9"/>
        <v>#N/A</v>
      </c>
      <c r="AS31" s="121">
        <f t="shared" si="10"/>
        <v>1</v>
      </c>
      <c r="AT31" s="120" t="str">
        <f t="shared" si="11"/>
        <v> </v>
      </c>
      <c r="AU31" s="120" t="str">
        <f t="shared" si="12"/>
        <v> </v>
      </c>
      <c r="AV31" s="120" t="e">
        <f t="shared" si="13"/>
        <v>#N/A</v>
      </c>
      <c r="AW31" s="120" t="e">
        <f t="shared" si="14"/>
        <v>#N/A</v>
      </c>
      <c r="AX31" s="120">
        <f t="shared" si="15"/>
      </c>
      <c r="AY31" s="120" t="e">
        <f t="shared" si="16"/>
        <v>#N/A</v>
      </c>
      <c r="AZ31" s="120" t="e">
        <f>VLOOKUP(AY31,'排出係数表'!$A$4:$C$202,2,FALSE)</f>
        <v>#N/A</v>
      </c>
      <c r="BA31" s="120" t="e">
        <f t="shared" si="17"/>
        <v>#N/A</v>
      </c>
      <c r="BB31" s="120" t="e">
        <f>VLOOKUP(AY31,'排出係数表'!$A$4:$C$202,3,FALSE)</f>
        <v>#N/A</v>
      </c>
      <c r="BC31" s="120" t="e">
        <f t="shared" si="18"/>
        <v>#N/A</v>
      </c>
      <c r="BD31" s="120">
        <f t="shared" si="30"/>
        <v>1</v>
      </c>
      <c r="BE31" s="122">
        <f t="shared" si="19"/>
      </c>
      <c r="BF31" s="123" t="e">
        <f t="shared" si="20"/>
        <v>#VALUE!</v>
      </c>
      <c r="BG31" s="122">
        <f t="shared" si="35"/>
      </c>
      <c r="BH31" s="120" t="e">
        <f t="shared" si="36"/>
        <v>#VALUE!</v>
      </c>
      <c r="BI31" s="120" t="e">
        <f t="shared" si="37"/>
        <v>#VALUE!</v>
      </c>
      <c r="BJ31" s="122" t="e">
        <f>VLOOKUP(AY31,'排出係数表'!$A$4:$D$202,4)</f>
        <v>#N/A</v>
      </c>
      <c r="BK31" s="257">
        <f aca="true" t="shared" si="38" ref="BK31:BK88">LEFT(K31,4)&amp;LEFT(L31,2)</f>
      </c>
      <c r="BM31" s="128"/>
      <c r="BN31" s="128"/>
      <c r="BO31" s="128"/>
      <c r="BP31" s="128"/>
    </row>
    <row r="32" spans="1:68" s="124" customFormat="1" ht="13.5" customHeight="1">
      <c r="A32" s="120"/>
      <c r="B32" s="120"/>
      <c r="C32" s="155"/>
      <c r="D32" s="155"/>
      <c r="E32" s="155"/>
      <c r="F32" s="155"/>
      <c r="G32" s="156"/>
      <c r="H32" s="157"/>
      <c r="I32" s="155"/>
      <c r="J32" s="155"/>
      <c r="K32" s="158"/>
      <c r="L32" s="159"/>
      <c r="M32" s="244"/>
      <c r="N32" s="155"/>
      <c r="O32" s="345">
        <f t="shared" si="21"/>
      </c>
      <c r="P32" s="345">
        <f t="shared" si="0"/>
      </c>
      <c r="Q32" s="508"/>
      <c r="R32" s="346"/>
      <c r="S32" s="347"/>
      <c r="T32" s="348"/>
      <c r="U32" s="347"/>
      <c r="V32" s="348"/>
      <c r="W32" s="347"/>
      <c r="X32" s="348"/>
      <c r="Y32" s="347"/>
      <c r="Z32" s="348"/>
      <c r="AA32" s="340" t="e">
        <f t="shared" si="1"/>
        <v>#N/A</v>
      </c>
      <c r="AB32" s="339">
        <f t="shared" si="22"/>
      </c>
      <c r="AC32" s="339">
        <f t="shared" si="23"/>
      </c>
      <c r="AD32" s="255">
        <f t="shared" si="24"/>
      </c>
      <c r="AE32" s="256">
        <f t="shared" si="25"/>
      </c>
      <c r="AF32" s="256">
        <f t="shared" si="26"/>
      </c>
      <c r="AG32" s="255">
        <f t="shared" si="27"/>
      </c>
      <c r="AH32" s="255">
        <f t="shared" si="2"/>
      </c>
      <c r="AI32" s="255">
        <f t="shared" si="28"/>
      </c>
      <c r="AJ32" s="255">
        <f t="shared" si="29"/>
      </c>
      <c r="AK32" s="255">
        <f t="shared" si="3"/>
      </c>
      <c r="AL32" s="255">
        <f t="shared" si="4"/>
      </c>
      <c r="AM32" s="120">
        <f ca="1" t="shared" si="5"/>
        <v>0</v>
      </c>
      <c r="AN32" s="120" t="e">
        <f t="shared" si="6"/>
        <v>#N/A</v>
      </c>
      <c r="AO32" s="120">
        <f>ROWS($AO$4:AO32)-1</f>
        <v>28</v>
      </c>
      <c r="AP32" s="255" t="e">
        <f t="shared" si="7"/>
        <v>#N/A</v>
      </c>
      <c r="AQ32" s="120" t="e">
        <f t="shared" si="8"/>
        <v>#N/A</v>
      </c>
      <c r="AR32" s="120" t="e">
        <f t="shared" si="9"/>
        <v>#N/A</v>
      </c>
      <c r="AS32" s="121">
        <f t="shared" si="10"/>
        <v>1</v>
      </c>
      <c r="AT32" s="120" t="str">
        <f t="shared" si="11"/>
        <v> </v>
      </c>
      <c r="AU32" s="120" t="str">
        <f t="shared" si="12"/>
        <v> </v>
      </c>
      <c r="AV32" s="120" t="e">
        <f t="shared" si="13"/>
        <v>#N/A</v>
      </c>
      <c r="AW32" s="120" t="e">
        <f t="shared" si="14"/>
        <v>#N/A</v>
      </c>
      <c r="AX32" s="120">
        <f t="shared" si="15"/>
      </c>
      <c r="AY32" s="120" t="e">
        <f t="shared" si="16"/>
        <v>#N/A</v>
      </c>
      <c r="AZ32" s="120" t="e">
        <f>VLOOKUP(AY32,'排出係数表'!$A$4:$C$202,2,FALSE)</f>
        <v>#N/A</v>
      </c>
      <c r="BA32" s="120" t="e">
        <f t="shared" si="17"/>
        <v>#N/A</v>
      </c>
      <c r="BB32" s="120" t="e">
        <f>VLOOKUP(AY32,'排出係数表'!$A$4:$C$202,3,FALSE)</f>
        <v>#N/A</v>
      </c>
      <c r="BC32" s="120" t="e">
        <f t="shared" si="18"/>
        <v>#N/A</v>
      </c>
      <c r="BD32" s="120">
        <f t="shared" si="30"/>
        <v>1</v>
      </c>
      <c r="BE32" s="122">
        <f t="shared" si="19"/>
      </c>
      <c r="BF32" s="123" t="e">
        <f t="shared" si="20"/>
        <v>#VALUE!</v>
      </c>
      <c r="BG32" s="122">
        <f t="shared" si="35"/>
      </c>
      <c r="BH32" s="120" t="e">
        <f t="shared" si="36"/>
        <v>#VALUE!</v>
      </c>
      <c r="BI32" s="120" t="e">
        <f t="shared" si="37"/>
        <v>#VALUE!</v>
      </c>
      <c r="BJ32" s="122" t="e">
        <f>VLOOKUP(AY32,'排出係数表'!$A$4:$D$202,4)</f>
        <v>#N/A</v>
      </c>
      <c r="BK32" s="257">
        <f t="shared" si="38"/>
      </c>
      <c r="BM32" s="128"/>
      <c r="BN32" s="128"/>
      <c r="BO32" s="128"/>
      <c r="BP32" s="128"/>
    </row>
    <row r="33" spans="1:68" s="124" customFormat="1" ht="13.5" customHeight="1">
      <c r="A33" s="120"/>
      <c r="B33" s="120"/>
      <c r="C33" s="155"/>
      <c r="D33" s="155"/>
      <c r="E33" s="155"/>
      <c r="F33" s="155"/>
      <c r="G33" s="156"/>
      <c r="H33" s="157"/>
      <c r="I33" s="155"/>
      <c r="J33" s="155"/>
      <c r="K33" s="158"/>
      <c r="L33" s="159"/>
      <c r="M33" s="244"/>
      <c r="N33" s="155"/>
      <c r="O33" s="345">
        <f t="shared" si="21"/>
      </c>
      <c r="P33" s="345">
        <f t="shared" si="0"/>
      </c>
      <c r="Q33" s="508"/>
      <c r="R33" s="346"/>
      <c r="S33" s="347"/>
      <c r="T33" s="348"/>
      <c r="U33" s="347"/>
      <c r="V33" s="348"/>
      <c r="W33" s="347"/>
      <c r="X33" s="348"/>
      <c r="Y33" s="347"/>
      <c r="Z33" s="348"/>
      <c r="AA33" s="340" t="e">
        <f t="shared" si="1"/>
        <v>#N/A</v>
      </c>
      <c r="AB33" s="339">
        <f t="shared" si="22"/>
      </c>
      <c r="AC33" s="339">
        <f t="shared" si="23"/>
      </c>
      <c r="AD33" s="255">
        <f t="shared" si="24"/>
      </c>
      <c r="AE33" s="256">
        <f t="shared" si="25"/>
      </c>
      <c r="AF33" s="256">
        <f t="shared" si="26"/>
      </c>
      <c r="AG33" s="255">
        <f t="shared" si="27"/>
      </c>
      <c r="AH33" s="255">
        <f t="shared" si="2"/>
      </c>
      <c r="AI33" s="255">
        <f t="shared" si="28"/>
      </c>
      <c r="AJ33" s="255">
        <f t="shared" si="29"/>
      </c>
      <c r="AK33" s="255">
        <f t="shared" si="3"/>
      </c>
      <c r="AL33" s="255">
        <f t="shared" si="4"/>
      </c>
      <c r="AM33" s="120">
        <f ca="1" t="shared" si="5"/>
        <v>0</v>
      </c>
      <c r="AN33" s="120" t="e">
        <f t="shared" si="6"/>
        <v>#N/A</v>
      </c>
      <c r="AO33" s="120">
        <f>ROWS($AO$4:AO33)-1</f>
        <v>29</v>
      </c>
      <c r="AP33" s="255" t="e">
        <f t="shared" si="7"/>
        <v>#N/A</v>
      </c>
      <c r="AQ33" s="120" t="e">
        <f t="shared" si="8"/>
        <v>#N/A</v>
      </c>
      <c r="AR33" s="120" t="e">
        <f t="shared" si="9"/>
        <v>#N/A</v>
      </c>
      <c r="AS33" s="121">
        <f t="shared" si="10"/>
        <v>1</v>
      </c>
      <c r="AT33" s="120" t="str">
        <f t="shared" si="11"/>
        <v> </v>
      </c>
      <c r="AU33" s="120" t="str">
        <f t="shared" si="12"/>
        <v> </v>
      </c>
      <c r="AV33" s="120" t="e">
        <f t="shared" si="13"/>
        <v>#N/A</v>
      </c>
      <c r="AW33" s="120" t="e">
        <f t="shared" si="14"/>
        <v>#N/A</v>
      </c>
      <c r="AX33" s="120">
        <f t="shared" si="15"/>
      </c>
      <c r="AY33" s="120" t="e">
        <f t="shared" si="16"/>
        <v>#N/A</v>
      </c>
      <c r="AZ33" s="120" t="e">
        <f>VLOOKUP(AY33,'排出係数表'!$A$4:$C$202,2,FALSE)</f>
        <v>#N/A</v>
      </c>
      <c r="BA33" s="120" t="e">
        <f t="shared" si="17"/>
        <v>#N/A</v>
      </c>
      <c r="BB33" s="120" t="e">
        <f>VLOOKUP(AY33,'排出係数表'!$A$4:$C$202,3,FALSE)</f>
        <v>#N/A</v>
      </c>
      <c r="BC33" s="120" t="e">
        <f t="shared" si="18"/>
        <v>#N/A</v>
      </c>
      <c r="BD33" s="120">
        <f t="shared" si="30"/>
        <v>1</v>
      </c>
      <c r="BE33" s="122">
        <f t="shared" si="19"/>
      </c>
      <c r="BF33" s="123" t="e">
        <f t="shared" si="20"/>
        <v>#VALUE!</v>
      </c>
      <c r="BG33" s="122">
        <f t="shared" si="35"/>
      </c>
      <c r="BH33" s="120" t="e">
        <f t="shared" si="36"/>
        <v>#VALUE!</v>
      </c>
      <c r="BI33" s="120" t="e">
        <f t="shared" si="37"/>
        <v>#VALUE!</v>
      </c>
      <c r="BJ33" s="122" t="e">
        <f>VLOOKUP(AY33,'排出係数表'!$A$4:$D$202,4)</f>
        <v>#N/A</v>
      </c>
      <c r="BK33" s="257">
        <f t="shared" si="38"/>
      </c>
      <c r="BM33" s="128"/>
      <c r="BN33" s="128"/>
      <c r="BO33" s="128"/>
      <c r="BP33" s="128"/>
    </row>
    <row r="34" spans="1:68" s="124" customFormat="1" ht="13.5" customHeight="1">
      <c r="A34" s="120"/>
      <c r="B34" s="120"/>
      <c r="C34" s="155"/>
      <c r="D34" s="155"/>
      <c r="E34" s="155"/>
      <c r="F34" s="155"/>
      <c r="G34" s="156"/>
      <c r="H34" s="157"/>
      <c r="I34" s="155"/>
      <c r="J34" s="155"/>
      <c r="K34" s="158"/>
      <c r="L34" s="159"/>
      <c r="M34" s="244"/>
      <c r="N34" s="155"/>
      <c r="O34" s="345">
        <f t="shared" si="21"/>
      </c>
      <c r="P34" s="345">
        <f t="shared" si="0"/>
      </c>
      <c r="Q34" s="508"/>
      <c r="R34" s="346"/>
      <c r="S34" s="347"/>
      <c r="T34" s="348"/>
      <c r="U34" s="347"/>
      <c r="V34" s="348"/>
      <c r="W34" s="347"/>
      <c r="X34" s="348"/>
      <c r="Y34" s="347"/>
      <c r="Z34" s="348"/>
      <c r="AA34" s="340" t="e">
        <f t="shared" si="1"/>
        <v>#N/A</v>
      </c>
      <c r="AB34" s="339">
        <f t="shared" si="22"/>
      </c>
      <c r="AC34" s="339">
        <f t="shared" si="23"/>
      </c>
      <c r="AD34" s="255">
        <f t="shared" si="24"/>
      </c>
      <c r="AE34" s="256">
        <f t="shared" si="25"/>
      </c>
      <c r="AF34" s="256">
        <f t="shared" si="26"/>
      </c>
      <c r="AG34" s="255">
        <f t="shared" si="27"/>
      </c>
      <c r="AH34" s="255">
        <f t="shared" si="2"/>
      </c>
      <c r="AI34" s="255">
        <f t="shared" si="28"/>
      </c>
      <c r="AJ34" s="255">
        <f t="shared" si="29"/>
      </c>
      <c r="AK34" s="255">
        <f t="shared" si="3"/>
      </c>
      <c r="AL34" s="255">
        <f t="shared" si="4"/>
      </c>
      <c r="AM34" s="120">
        <f ca="1" t="shared" si="5"/>
        <v>0</v>
      </c>
      <c r="AN34" s="120" t="e">
        <f t="shared" si="6"/>
        <v>#N/A</v>
      </c>
      <c r="AO34" s="120">
        <f>ROWS($AO$4:AO34)-1</f>
        <v>30</v>
      </c>
      <c r="AP34" s="255" t="e">
        <f t="shared" si="7"/>
        <v>#N/A</v>
      </c>
      <c r="AQ34" s="120" t="e">
        <f t="shared" si="8"/>
        <v>#N/A</v>
      </c>
      <c r="AR34" s="120" t="e">
        <f t="shared" si="9"/>
        <v>#N/A</v>
      </c>
      <c r="AS34" s="121">
        <f t="shared" si="10"/>
        <v>1</v>
      </c>
      <c r="AT34" s="120" t="str">
        <f t="shared" si="11"/>
        <v> </v>
      </c>
      <c r="AU34" s="120" t="str">
        <f t="shared" si="12"/>
        <v> </v>
      </c>
      <c r="AV34" s="120" t="e">
        <f t="shared" si="13"/>
        <v>#N/A</v>
      </c>
      <c r="AW34" s="120" t="e">
        <f t="shared" si="14"/>
        <v>#N/A</v>
      </c>
      <c r="AX34" s="120">
        <f t="shared" si="15"/>
      </c>
      <c r="AY34" s="120" t="e">
        <f t="shared" si="16"/>
        <v>#N/A</v>
      </c>
      <c r="AZ34" s="120" t="e">
        <f>VLOOKUP(AY34,'排出係数表'!$A$4:$C$202,2,FALSE)</f>
        <v>#N/A</v>
      </c>
      <c r="BA34" s="120" t="e">
        <f t="shared" si="17"/>
        <v>#N/A</v>
      </c>
      <c r="BB34" s="120" t="e">
        <f>VLOOKUP(AY34,'排出係数表'!$A$4:$C$202,3,FALSE)</f>
        <v>#N/A</v>
      </c>
      <c r="BC34" s="120" t="e">
        <f t="shared" si="18"/>
        <v>#N/A</v>
      </c>
      <c r="BD34" s="120">
        <f t="shared" si="30"/>
        <v>1</v>
      </c>
      <c r="BE34" s="122">
        <f t="shared" si="19"/>
      </c>
      <c r="BF34" s="123" t="e">
        <f t="shared" si="20"/>
        <v>#VALUE!</v>
      </c>
      <c r="BG34" s="122">
        <f t="shared" si="35"/>
      </c>
      <c r="BH34" s="120" t="e">
        <f t="shared" si="36"/>
        <v>#VALUE!</v>
      </c>
      <c r="BI34" s="120" t="e">
        <f t="shared" si="37"/>
        <v>#VALUE!</v>
      </c>
      <c r="BJ34" s="122" t="e">
        <f>VLOOKUP(AY34,'排出係数表'!$A$4:$D$202,4)</f>
        <v>#N/A</v>
      </c>
      <c r="BK34" s="257">
        <f t="shared" si="38"/>
      </c>
      <c r="BM34" s="128"/>
      <c r="BN34" s="128"/>
      <c r="BO34" s="128"/>
      <c r="BP34" s="128"/>
    </row>
    <row r="35" spans="1:68" s="124" customFormat="1" ht="13.5" customHeight="1">
      <c r="A35" s="120"/>
      <c r="B35" s="120"/>
      <c r="C35" s="155"/>
      <c r="D35" s="155"/>
      <c r="E35" s="155"/>
      <c r="F35" s="155"/>
      <c r="G35" s="156"/>
      <c r="H35" s="157"/>
      <c r="I35" s="155"/>
      <c r="J35" s="155"/>
      <c r="K35" s="158"/>
      <c r="L35" s="159"/>
      <c r="M35" s="244"/>
      <c r="N35" s="155"/>
      <c r="O35" s="345">
        <f t="shared" si="21"/>
      </c>
      <c r="P35" s="345">
        <f t="shared" si="0"/>
      </c>
      <c r="Q35" s="508"/>
      <c r="R35" s="346"/>
      <c r="S35" s="347"/>
      <c r="T35" s="348"/>
      <c r="U35" s="347"/>
      <c r="V35" s="348"/>
      <c r="W35" s="347"/>
      <c r="X35" s="348"/>
      <c r="Y35" s="347"/>
      <c r="Z35" s="348"/>
      <c r="AA35" s="340" t="e">
        <f t="shared" si="1"/>
        <v>#N/A</v>
      </c>
      <c r="AB35" s="339">
        <f t="shared" si="22"/>
      </c>
      <c r="AC35" s="339">
        <f t="shared" si="23"/>
      </c>
      <c r="AD35" s="255">
        <f t="shared" si="24"/>
      </c>
      <c r="AE35" s="256">
        <f t="shared" si="25"/>
      </c>
      <c r="AF35" s="256">
        <f t="shared" si="26"/>
      </c>
      <c r="AG35" s="255">
        <f t="shared" si="27"/>
      </c>
      <c r="AH35" s="255">
        <f t="shared" si="2"/>
      </c>
      <c r="AI35" s="255">
        <f t="shared" si="28"/>
      </c>
      <c r="AJ35" s="255">
        <f t="shared" si="29"/>
      </c>
      <c r="AK35" s="255">
        <f t="shared" si="3"/>
      </c>
      <c r="AL35" s="255">
        <f t="shared" si="4"/>
      </c>
      <c r="AM35" s="120">
        <f ca="1" t="shared" si="5"/>
        <v>0</v>
      </c>
      <c r="AN35" s="120" t="e">
        <f t="shared" si="6"/>
        <v>#N/A</v>
      </c>
      <c r="AO35" s="120">
        <f>ROWS($AO$4:AO35)-1</f>
        <v>31</v>
      </c>
      <c r="AP35" s="255" t="e">
        <f t="shared" si="7"/>
        <v>#N/A</v>
      </c>
      <c r="AQ35" s="120" t="e">
        <f t="shared" si="8"/>
        <v>#N/A</v>
      </c>
      <c r="AR35" s="120" t="e">
        <f t="shared" si="9"/>
        <v>#N/A</v>
      </c>
      <c r="AS35" s="121">
        <f t="shared" si="10"/>
        <v>1</v>
      </c>
      <c r="AT35" s="120" t="str">
        <f t="shared" si="11"/>
        <v> </v>
      </c>
      <c r="AU35" s="120" t="str">
        <f t="shared" si="12"/>
        <v> </v>
      </c>
      <c r="AV35" s="120" t="e">
        <f t="shared" si="13"/>
        <v>#N/A</v>
      </c>
      <c r="AW35" s="120" t="e">
        <f t="shared" si="14"/>
        <v>#N/A</v>
      </c>
      <c r="AX35" s="120">
        <f t="shared" si="15"/>
      </c>
      <c r="AY35" s="120" t="e">
        <f t="shared" si="16"/>
        <v>#N/A</v>
      </c>
      <c r="AZ35" s="120" t="e">
        <f>VLOOKUP(AY35,'排出係数表'!$A$4:$C$202,2,FALSE)</f>
        <v>#N/A</v>
      </c>
      <c r="BA35" s="120" t="e">
        <f t="shared" si="17"/>
        <v>#N/A</v>
      </c>
      <c r="BB35" s="120" t="e">
        <f>VLOOKUP(AY35,'排出係数表'!$A$4:$C$202,3,FALSE)</f>
        <v>#N/A</v>
      </c>
      <c r="BC35" s="120" t="e">
        <f t="shared" si="18"/>
        <v>#N/A</v>
      </c>
      <c r="BD35" s="120">
        <f t="shared" si="30"/>
        <v>1</v>
      </c>
      <c r="BE35" s="122">
        <f t="shared" si="19"/>
      </c>
      <c r="BF35" s="123" t="e">
        <f t="shared" si="20"/>
        <v>#VALUE!</v>
      </c>
      <c r="BG35" s="122">
        <f t="shared" si="35"/>
      </c>
      <c r="BH35" s="120" t="e">
        <f t="shared" si="36"/>
        <v>#VALUE!</v>
      </c>
      <c r="BI35" s="120" t="e">
        <f t="shared" si="37"/>
        <v>#VALUE!</v>
      </c>
      <c r="BJ35" s="122" t="e">
        <f>VLOOKUP(AY35,'排出係数表'!$A$4:$D$202,4)</f>
        <v>#N/A</v>
      </c>
      <c r="BK35" s="257">
        <f t="shared" si="38"/>
      </c>
      <c r="BM35" s="128"/>
      <c r="BN35" s="128"/>
      <c r="BO35" s="128"/>
      <c r="BP35" s="128"/>
    </row>
    <row r="36" spans="1:68" s="124" customFormat="1" ht="13.5" customHeight="1">
      <c r="A36" s="120"/>
      <c r="B36" s="120"/>
      <c r="C36" s="155"/>
      <c r="D36" s="155"/>
      <c r="E36" s="155"/>
      <c r="F36" s="155"/>
      <c r="G36" s="156"/>
      <c r="H36" s="157"/>
      <c r="I36" s="155"/>
      <c r="J36" s="155"/>
      <c r="K36" s="158"/>
      <c r="L36" s="159"/>
      <c r="M36" s="244"/>
      <c r="N36" s="155"/>
      <c r="O36" s="345">
        <f t="shared" si="21"/>
      </c>
      <c r="P36" s="345">
        <f t="shared" si="0"/>
      </c>
      <c r="Q36" s="508"/>
      <c r="R36" s="346"/>
      <c r="S36" s="347"/>
      <c r="T36" s="348"/>
      <c r="U36" s="347"/>
      <c r="V36" s="348"/>
      <c r="W36" s="347"/>
      <c r="X36" s="348"/>
      <c r="Y36" s="347"/>
      <c r="Z36" s="348"/>
      <c r="AA36" s="340" t="e">
        <f t="shared" si="1"/>
        <v>#N/A</v>
      </c>
      <c r="AB36" s="339">
        <f t="shared" si="22"/>
      </c>
      <c r="AC36" s="339">
        <f t="shared" si="23"/>
      </c>
      <c r="AD36" s="255">
        <f t="shared" si="24"/>
      </c>
      <c r="AE36" s="256">
        <f t="shared" si="25"/>
      </c>
      <c r="AF36" s="256">
        <f t="shared" si="26"/>
      </c>
      <c r="AG36" s="255">
        <f t="shared" si="27"/>
      </c>
      <c r="AH36" s="255">
        <f t="shared" si="2"/>
      </c>
      <c r="AI36" s="255">
        <f t="shared" si="28"/>
      </c>
      <c r="AJ36" s="255">
        <f t="shared" si="29"/>
      </c>
      <c r="AK36" s="255">
        <f t="shared" si="3"/>
      </c>
      <c r="AL36" s="255">
        <f t="shared" si="4"/>
      </c>
      <c r="AM36" s="120">
        <f ca="1" t="shared" si="5"/>
        <v>0</v>
      </c>
      <c r="AN36" s="120" t="e">
        <f t="shared" si="6"/>
        <v>#N/A</v>
      </c>
      <c r="AO36" s="120">
        <f>ROWS($AO$4:AO36)-1</f>
        <v>32</v>
      </c>
      <c r="AP36" s="255" t="e">
        <f t="shared" si="7"/>
        <v>#N/A</v>
      </c>
      <c r="AQ36" s="120" t="e">
        <f t="shared" si="8"/>
        <v>#N/A</v>
      </c>
      <c r="AR36" s="120" t="e">
        <f t="shared" si="9"/>
        <v>#N/A</v>
      </c>
      <c r="AS36" s="121">
        <f t="shared" si="10"/>
        <v>1</v>
      </c>
      <c r="AT36" s="120" t="str">
        <f t="shared" si="11"/>
        <v> </v>
      </c>
      <c r="AU36" s="120" t="str">
        <f t="shared" si="12"/>
        <v> </v>
      </c>
      <c r="AV36" s="120" t="e">
        <f t="shared" si="13"/>
        <v>#N/A</v>
      </c>
      <c r="AW36" s="120" t="e">
        <f t="shared" si="14"/>
        <v>#N/A</v>
      </c>
      <c r="AX36" s="120">
        <f t="shared" si="15"/>
      </c>
      <c r="AY36" s="120" t="e">
        <f t="shared" si="16"/>
        <v>#N/A</v>
      </c>
      <c r="AZ36" s="120" t="e">
        <f>VLOOKUP(AY36,'排出係数表'!$A$4:$C$202,2,FALSE)</f>
        <v>#N/A</v>
      </c>
      <c r="BA36" s="120" t="e">
        <f t="shared" si="17"/>
        <v>#N/A</v>
      </c>
      <c r="BB36" s="120" t="e">
        <f>VLOOKUP(AY36,'排出係数表'!$A$4:$C$202,3,FALSE)</f>
        <v>#N/A</v>
      </c>
      <c r="BC36" s="120" t="e">
        <f t="shared" si="18"/>
        <v>#N/A</v>
      </c>
      <c r="BD36" s="120">
        <f t="shared" si="30"/>
        <v>1</v>
      </c>
      <c r="BE36" s="122">
        <f t="shared" si="19"/>
      </c>
      <c r="BF36" s="123" t="e">
        <f t="shared" si="20"/>
        <v>#VALUE!</v>
      </c>
      <c r="BG36" s="122">
        <f t="shared" si="35"/>
      </c>
      <c r="BH36" s="120" t="e">
        <f t="shared" si="36"/>
        <v>#VALUE!</v>
      </c>
      <c r="BI36" s="120" t="e">
        <f t="shared" si="37"/>
        <v>#VALUE!</v>
      </c>
      <c r="BJ36" s="122" t="e">
        <f>VLOOKUP(AY36,'排出係数表'!$A$4:$D$202,4)</f>
        <v>#N/A</v>
      </c>
      <c r="BK36" s="257">
        <f t="shared" si="38"/>
      </c>
      <c r="BM36" s="128"/>
      <c r="BN36" s="128"/>
      <c r="BO36" s="128"/>
      <c r="BP36" s="128"/>
    </row>
    <row r="37" spans="1:68" s="124" customFormat="1" ht="13.5" customHeight="1">
      <c r="A37" s="120"/>
      <c r="B37" s="120"/>
      <c r="C37" s="155"/>
      <c r="D37" s="155"/>
      <c r="E37" s="155"/>
      <c r="F37" s="155"/>
      <c r="G37" s="156"/>
      <c r="H37" s="157"/>
      <c r="I37" s="155"/>
      <c r="J37" s="155"/>
      <c r="K37" s="158"/>
      <c r="L37" s="159"/>
      <c r="M37" s="244"/>
      <c r="N37" s="155"/>
      <c r="O37" s="345">
        <f t="shared" si="21"/>
      </c>
      <c r="P37" s="345">
        <f t="shared" si="0"/>
      </c>
      <c r="Q37" s="508"/>
      <c r="R37" s="346"/>
      <c r="S37" s="347"/>
      <c r="T37" s="348"/>
      <c r="U37" s="347"/>
      <c r="V37" s="348"/>
      <c r="W37" s="347"/>
      <c r="X37" s="348"/>
      <c r="Y37" s="347"/>
      <c r="Z37" s="348"/>
      <c r="AA37" s="340" t="e">
        <f t="shared" si="1"/>
        <v>#N/A</v>
      </c>
      <c r="AB37" s="339">
        <f t="shared" si="22"/>
      </c>
      <c r="AC37" s="339">
        <f t="shared" si="23"/>
      </c>
      <c r="AD37" s="255">
        <f t="shared" si="24"/>
      </c>
      <c r="AE37" s="256">
        <f t="shared" si="25"/>
      </c>
      <c r="AF37" s="256">
        <f t="shared" si="26"/>
      </c>
      <c r="AG37" s="255">
        <f t="shared" si="27"/>
      </c>
      <c r="AH37" s="255">
        <f t="shared" si="2"/>
      </c>
      <c r="AI37" s="255">
        <f t="shared" si="28"/>
      </c>
      <c r="AJ37" s="255">
        <f t="shared" si="29"/>
      </c>
      <c r="AK37" s="255">
        <f t="shared" si="3"/>
      </c>
      <c r="AL37" s="255">
        <f t="shared" si="4"/>
      </c>
      <c r="AM37" s="120">
        <f aca="true" ca="1" t="shared" si="39" ref="AM37:AM54">COUNTIF(OFFSET($AK$5,,,AO37,1),1)</f>
        <v>0</v>
      </c>
      <c r="AN37" s="120" t="e">
        <f t="shared" si="6"/>
        <v>#N/A</v>
      </c>
      <c r="AO37" s="120">
        <f>ROWS($AO$4:AO37)-1</f>
        <v>33</v>
      </c>
      <c r="AP37" s="255" t="e">
        <f aca="true" t="shared" si="40" ref="AP37:AP54">AN37-AO37</f>
        <v>#N/A</v>
      </c>
      <c r="AQ37" s="120" t="e">
        <f t="shared" si="8"/>
        <v>#N/A</v>
      </c>
      <c r="AR37" s="120" t="e">
        <f aca="true" t="shared" si="41" ref="AR37:AR100">LOOKUP(F37,種類,$M$307:$M$314)</f>
        <v>#N/A</v>
      </c>
      <c r="AS37" s="121">
        <f aca="true" t="shared" si="42" ref="AS37:AS54">IF(I37&gt;3500,I37/1000,1)</f>
        <v>1</v>
      </c>
      <c r="AT37" s="120" t="str">
        <f aca="true" t="shared" si="43" ref="AT37:AT54">IF(ISBLANK(F37)=TRUE," ",IF(LEFT(F37,1)="4",0,IF(I37&lt;=1700,1,IF(I37&lt;=2500,2,IF(I37&lt;=3500,3,4)))))</f>
        <v> </v>
      </c>
      <c r="AU37" s="120" t="str">
        <f aca="true" t="shared" si="44" ref="AU37:AU54">IF(ISBLANK(J37)=TRUE," ",IF(LEFT(F37,1)="1",IF(I37&lt;=3500,1,IF(I37&lt;=5000,2,3)),IF(LEFT(F37,1)="6",IF(I37&lt;=3500,1,IF(I37&lt;=5000,2,3)),"")))</f>
        <v> </v>
      </c>
      <c r="AV37" s="120" t="e">
        <f t="shared" si="13"/>
        <v>#N/A</v>
      </c>
      <c r="AW37" s="120" t="e">
        <f t="shared" si="14"/>
        <v>#N/A</v>
      </c>
      <c r="AX37" s="120">
        <f t="shared" si="15"/>
      </c>
      <c r="AY37" s="120" t="e">
        <f t="shared" si="16"/>
        <v>#N/A</v>
      </c>
      <c r="AZ37" s="120" t="e">
        <f>VLOOKUP(AY37,'排出係数表'!$A$4:$C$202,2,FALSE)</f>
        <v>#N/A</v>
      </c>
      <c r="BA37" s="120" t="e">
        <f t="shared" si="17"/>
        <v>#N/A</v>
      </c>
      <c r="BB37" s="120" t="e">
        <f>VLOOKUP(AY37,'排出係数表'!$A$4:$C$202,3,FALSE)</f>
        <v>#N/A</v>
      </c>
      <c r="BC37" s="120" t="e">
        <f t="shared" si="18"/>
        <v>#N/A</v>
      </c>
      <c r="BD37" s="120">
        <f t="shared" si="30"/>
        <v>1</v>
      </c>
      <c r="BE37" s="122">
        <f t="shared" si="19"/>
      </c>
      <c r="BF37" s="123" t="e">
        <f aca="true" t="shared" si="45" ref="BF37:BF54">VALUE(LEFT(J37,2))</f>
        <v>#VALUE!</v>
      </c>
      <c r="BG37" s="122">
        <f t="shared" si="35"/>
      </c>
      <c r="BH37" s="120" t="e">
        <f t="shared" si="36"/>
        <v>#VALUE!</v>
      </c>
      <c r="BI37" s="120" t="e">
        <f t="shared" si="37"/>
        <v>#VALUE!</v>
      </c>
      <c r="BJ37" s="122" t="e">
        <f>VLOOKUP(AY37,'排出係数表'!$A$4:$D$202,4)</f>
        <v>#N/A</v>
      </c>
      <c r="BK37" s="257">
        <f t="shared" si="38"/>
      </c>
      <c r="BM37" s="128"/>
      <c r="BN37" s="128"/>
      <c r="BO37" s="128"/>
      <c r="BP37" s="128"/>
    </row>
    <row r="38" spans="1:63" s="124" customFormat="1" ht="13.5" customHeight="1">
      <c r="A38" s="120"/>
      <c r="B38" s="120"/>
      <c r="C38" s="155"/>
      <c r="D38" s="155"/>
      <c r="E38" s="155"/>
      <c r="F38" s="155"/>
      <c r="G38" s="156"/>
      <c r="H38" s="157"/>
      <c r="I38" s="155"/>
      <c r="J38" s="155"/>
      <c r="K38" s="158"/>
      <c r="L38" s="159"/>
      <c r="M38" s="244"/>
      <c r="N38" s="155"/>
      <c r="O38" s="345">
        <f t="shared" si="21"/>
      </c>
      <c r="P38" s="345">
        <f t="shared" si="0"/>
      </c>
      <c r="Q38" s="508"/>
      <c r="R38" s="346"/>
      <c r="S38" s="347"/>
      <c r="T38" s="348"/>
      <c r="U38" s="347"/>
      <c r="V38" s="348"/>
      <c r="W38" s="347"/>
      <c r="X38" s="348"/>
      <c r="Y38" s="347"/>
      <c r="Z38" s="348"/>
      <c r="AA38" s="340" t="e">
        <f t="shared" si="1"/>
        <v>#N/A</v>
      </c>
      <c r="AB38" s="339">
        <f t="shared" si="22"/>
      </c>
      <c r="AC38" s="339">
        <f t="shared" si="23"/>
      </c>
      <c r="AD38" s="255">
        <f t="shared" si="24"/>
      </c>
      <c r="AE38" s="256">
        <f t="shared" si="25"/>
      </c>
      <c r="AF38" s="256">
        <f t="shared" si="26"/>
      </c>
      <c r="AG38" s="255">
        <f t="shared" si="27"/>
      </c>
      <c r="AH38" s="255">
        <f t="shared" si="2"/>
      </c>
      <c r="AI38" s="255">
        <f t="shared" si="28"/>
      </c>
      <c r="AJ38" s="255">
        <f t="shared" si="29"/>
      </c>
      <c r="AK38" s="255">
        <f t="shared" si="3"/>
      </c>
      <c r="AL38" s="255">
        <f t="shared" si="4"/>
      </c>
      <c r="AM38" s="120">
        <f ca="1" t="shared" si="39"/>
        <v>0</v>
      </c>
      <c r="AN38" s="120" t="e">
        <f t="shared" si="6"/>
        <v>#N/A</v>
      </c>
      <c r="AO38" s="120">
        <f>ROWS($AO$4:AO38)-1</f>
        <v>34</v>
      </c>
      <c r="AP38" s="255" t="e">
        <f t="shared" si="40"/>
        <v>#N/A</v>
      </c>
      <c r="AQ38" s="120" t="e">
        <f t="shared" si="8"/>
        <v>#N/A</v>
      </c>
      <c r="AR38" s="120" t="e">
        <f t="shared" si="41"/>
        <v>#N/A</v>
      </c>
      <c r="AS38" s="121">
        <f t="shared" si="42"/>
        <v>1</v>
      </c>
      <c r="AT38" s="120" t="str">
        <f t="shared" si="43"/>
        <v> </v>
      </c>
      <c r="AU38" s="120" t="str">
        <f t="shared" si="44"/>
        <v> </v>
      </c>
      <c r="AV38" s="120" t="e">
        <f t="shared" si="13"/>
        <v>#N/A</v>
      </c>
      <c r="AW38" s="120" t="e">
        <f t="shared" si="14"/>
        <v>#N/A</v>
      </c>
      <c r="AX38" s="120">
        <f t="shared" si="15"/>
      </c>
      <c r="AY38" s="120" t="e">
        <f t="shared" si="16"/>
        <v>#N/A</v>
      </c>
      <c r="AZ38" s="120" t="e">
        <f>VLOOKUP(AY38,'排出係数表'!$A$4:$C$202,2,FALSE)</f>
        <v>#N/A</v>
      </c>
      <c r="BA38" s="120" t="e">
        <f t="shared" si="17"/>
        <v>#N/A</v>
      </c>
      <c r="BB38" s="120" t="e">
        <f>VLOOKUP(AY38,'排出係数表'!$A$4:$C$202,3,FALSE)</f>
        <v>#N/A</v>
      </c>
      <c r="BC38" s="120" t="e">
        <f t="shared" si="18"/>
        <v>#N/A</v>
      </c>
      <c r="BD38" s="120">
        <f t="shared" si="30"/>
        <v>1</v>
      </c>
      <c r="BE38" s="122">
        <f t="shared" si="19"/>
      </c>
      <c r="BF38" s="123" t="e">
        <f t="shared" si="45"/>
        <v>#VALUE!</v>
      </c>
      <c r="BG38" s="122">
        <f t="shared" si="35"/>
      </c>
      <c r="BH38" s="120" t="e">
        <f t="shared" si="36"/>
        <v>#VALUE!</v>
      </c>
      <c r="BI38" s="120" t="e">
        <f t="shared" si="37"/>
        <v>#VALUE!</v>
      </c>
      <c r="BJ38" s="122" t="e">
        <f>VLOOKUP(AY38,'排出係数表'!$A$4:$D$202,4)</f>
        <v>#N/A</v>
      </c>
      <c r="BK38" s="257">
        <f t="shared" si="38"/>
      </c>
    </row>
    <row r="39" spans="1:63" s="124" customFormat="1" ht="13.5" customHeight="1">
      <c r="A39" s="120"/>
      <c r="B39" s="120"/>
      <c r="C39" s="155"/>
      <c r="D39" s="155"/>
      <c r="E39" s="155"/>
      <c r="F39" s="155"/>
      <c r="G39" s="156"/>
      <c r="H39" s="157"/>
      <c r="I39" s="155"/>
      <c r="J39" s="155"/>
      <c r="K39" s="158"/>
      <c r="L39" s="159"/>
      <c r="M39" s="244"/>
      <c r="N39" s="155"/>
      <c r="O39" s="345">
        <f t="shared" si="21"/>
      </c>
      <c r="P39" s="345">
        <f t="shared" si="0"/>
      </c>
      <c r="Q39" s="508"/>
      <c r="R39" s="346"/>
      <c r="S39" s="347"/>
      <c r="T39" s="348"/>
      <c r="U39" s="347"/>
      <c r="V39" s="348"/>
      <c r="W39" s="347"/>
      <c r="X39" s="348"/>
      <c r="Y39" s="347"/>
      <c r="Z39" s="348"/>
      <c r="AA39" s="340" t="e">
        <f t="shared" si="1"/>
        <v>#N/A</v>
      </c>
      <c r="AB39" s="339">
        <f t="shared" si="22"/>
      </c>
      <c r="AC39" s="339">
        <f t="shared" si="23"/>
      </c>
      <c r="AD39" s="255">
        <f t="shared" si="24"/>
      </c>
      <c r="AE39" s="256">
        <f t="shared" si="25"/>
      </c>
      <c r="AF39" s="256">
        <f t="shared" si="26"/>
      </c>
      <c r="AG39" s="255">
        <f t="shared" si="27"/>
      </c>
      <c r="AH39" s="255">
        <f t="shared" si="2"/>
      </c>
      <c r="AI39" s="255">
        <f t="shared" si="28"/>
      </c>
      <c r="AJ39" s="255">
        <f t="shared" si="29"/>
      </c>
      <c r="AK39" s="255">
        <f t="shared" si="3"/>
      </c>
      <c r="AL39" s="255">
        <f t="shared" si="4"/>
      </c>
      <c r="AM39" s="120">
        <f ca="1" t="shared" si="39"/>
        <v>0</v>
      </c>
      <c r="AN39" s="120" t="e">
        <f t="shared" si="6"/>
        <v>#N/A</v>
      </c>
      <c r="AO39" s="120">
        <f>ROWS($AO$4:AO39)-1</f>
        <v>35</v>
      </c>
      <c r="AP39" s="255" t="e">
        <f t="shared" si="40"/>
        <v>#N/A</v>
      </c>
      <c r="AQ39" s="120" t="e">
        <f t="shared" si="8"/>
        <v>#N/A</v>
      </c>
      <c r="AR39" s="120" t="e">
        <f t="shared" si="41"/>
        <v>#N/A</v>
      </c>
      <c r="AS39" s="121">
        <f t="shared" si="42"/>
        <v>1</v>
      </c>
      <c r="AT39" s="120" t="str">
        <f t="shared" si="43"/>
        <v> </v>
      </c>
      <c r="AU39" s="120" t="str">
        <f t="shared" si="44"/>
        <v> </v>
      </c>
      <c r="AV39" s="120" t="e">
        <f t="shared" si="13"/>
        <v>#N/A</v>
      </c>
      <c r="AW39" s="120" t="e">
        <f t="shared" si="14"/>
        <v>#N/A</v>
      </c>
      <c r="AX39" s="120">
        <f t="shared" si="15"/>
      </c>
      <c r="AY39" s="120" t="e">
        <f t="shared" si="16"/>
        <v>#N/A</v>
      </c>
      <c r="AZ39" s="120" t="e">
        <f>VLOOKUP(AY39,'排出係数表'!$A$4:$C$202,2,FALSE)</f>
        <v>#N/A</v>
      </c>
      <c r="BA39" s="120" t="e">
        <f t="shared" si="17"/>
        <v>#N/A</v>
      </c>
      <c r="BB39" s="120" t="e">
        <f>VLOOKUP(AY39,'排出係数表'!$A$4:$C$202,3,FALSE)</f>
        <v>#N/A</v>
      </c>
      <c r="BC39" s="120" t="e">
        <f t="shared" si="18"/>
        <v>#N/A</v>
      </c>
      <c r="BD39" s="120">
        <f t="shared" si="30"/>
        <v>1</v>
      </c>
      <c r="BE39" s="122">
        <f t="shared" si="19"/>
      </c>
      <c r="BF39" s="123" t="e">
        <f t="shared" si="45"/>
        <v>#VALUE!</v>
      </c>
      <c r="BG39" s="122">
        <f t="shared" si="35"/>
      </c>
      <c r="BH39" s="120" t="e">
        <f t="shared" si="36"/>
        <v>#VALUE!</v>
      </c>
      <c r="BI39" s="120" t="e">
        <f t="shared" si="37"/>
        <v>#VALUE!</v>
      </c>
      <c r="BJ39" s="122" t="e">
        <f>VLOOKUP(AY39,'排出係数表'!$A$4:$D$202,4)</f>
        <v>#N/A</v>
      </c>
      <c r="BK39" s="257">
        <f t="shared" si="38"/>
      </c>
    </row>
    <row r="40" spans="1:63" s="124" customFormat="1" ht="13.5" customHeight="1">
      <c r="A40" s="120"/>
      <c r="B40" s="120"/>
      <c r="C40" s="155"/>
      <c r="D40" s="155"/>
      <c r="E40" s="155"/>
      <c r="F40" s="155"/>
      <c r="G40" s="156"/>
      <c r="H40" s="157"/>
      <c r="I40" s="155"/>
      <c r="J40" s="155"/>
      <c r="K40" s="158"/>
      <c r="L40" s="159"/>
      <c r="M40" s="244"/>
      <c r="N40" s="155"/>
      <c r="O40" s="345">
        <f t="shared" si="21"/>
      </c>
      <c r="P40" s="345">
        <f t="shared" si="0"/>
      </c>
      <c r="Q40" s="508"/>
      <c r="R40" s="346"/>
      <c r="S40" s="347"/>
      <c r="T40" s="348"/>
      <c r="U40" s="347"/>
      <c r="V40" s="348"/>
      <c r="W40" s="347"/>
      <c r="X40" s="348"/>
      <c r="Y40" s="347"/>
      <c r="Z40" s="348"/>
      <c r="AA40" s="340" t="e">
        <f t="shared" si="1"/>
        <v>#N/A</v>
      </c>
      <c r="AB40" s="339">
        <f t="shared" si="22"/>
      </c>
      <c r="AC40" s="339">
        <f t="shared" si="23"/>
      </c>
      <c r="AD40" s="255">
        <f t="shared" si="24"/>
      </c>
      <c r="AE40" s="256">
        <f t="shared" si="25"/>
      </c>
      <c r="AF40" s="256">
        <f t="shared" si="26"/>
      </c>
      <c r="AG40" s="255">
        <f t="shared" si="27"/>
      </c>
      <c r="AH40" s="255">
        <f t="shared" si="2"/>
      </c>
      <c r="AI40" s="255">
        <f t="shared" si="28"/>
      </c>
      <c r="AJ40" s="255">
        <f t="shared" si="29"/>
      </c>
      <c r="AK40" s="255">
        <f t="shared" si="3"/>
      </c>
      <c r="AL40" s="255">
        <f t="shared" si="4"/>
      </c>
      <c r="AM40" s="120">
        <f ca="1" t="shared" si="39"/>
        <v>0</v>
      </c>
      <c r="AN40" s="120" t="e">
        <f t="shared" si="6"/>
        <v>#N/A</v>
      </c>
      <c r="AO40" s="120">
        <f>ROWS($AO$4:AO40)-1</f>
        <v>36</v>
      </c>
      <c r="AP40" s="255" t="e">
        <f t="shared" si="40"/>
        <v>#N/A</v>
      </c>
      <c r="AQ40" s="120" t="e">
        <f t="shared" si="8"/>
        <v>#N/A</v>
      </c>
      <c r="AR40" s="120" t="e">
        <f t="shared" si="41"/>
        <v>#N/A</v>
      </c>
      <c r="AS40" s="121">
        <f t="shared" si="42"/>
        <v>1</v>
      </c>
      <c r="AT40" s="120" t="str">
        <f t="shared" si="43"/>
        <v> </v>
      </c>
      <c r="AU40" s="120" t="str">
        <f t="shared" si="44"/>
        <v> </v>
      </c>
      <c r="AV40" s="120" t="e">
        <f t="shared" si="13"/>
        <v>#N/A</v>
      </c>
      <c r="AW40" s="120" t="e">
        <f t="shared" si="14"/>
        <v>#N/A</v>
      </c>
      <c r="AX40" s="120">
        <f t="shared" si="15"/>
      </c>
      <c r="AY40" s="120" t="e">
        <f t="shared" si="16"/>
        <v>#N/A</v>
      </c>
      <c r="AZ40" s="120" t="e">
        <f>VLOOKUP(AY40,'排出係数表'!$A$4:$C$202,2,FALSE)</f>
        <v>#N/A</v>
      </c>
      <c r="BA40" s="120" t="e">
        <f t="shared" si="17"/>
        <v>#N/A</v>
      </c>
      <c r="BB40" s="120" t="e">
        <f>VLOOKUP(AY40,'排出係数表'!$A$4:$C$202,3,FALSE)</f>
        <v>#N/A</v>
      </c>
      <c r="BC40" s="120" t="e">
        <f t="shared" si="18"/>
        <v>#N/A</v>
      </c>
      <c r="BD40" s="120">
        <f t="shared" si="30"/>
        <v>1</v>
      </c>
      <c r="BE40" s="122">
        <f t="shared" si="19"/>
      </c>
      <c r="BF40" s="123" t="e">
        <f t="shared" si="45"/>
        <v>#VALUE!</v>
      </c>
      <c r="BG40" s="122">
        <f t="shared" si="35"/>
      </c>
      <c r="BH40" s="120" t="e">
        <f t="shared" si="36"/>
        <v>#VALUE!</v>
      </c>
      <c r="BI40" s="120" t="e">
        <f t="shared" si="37"/>
        <v>#VALUE!</v>
      </c>
      <c r="BJ40" s="122" t="e">
        <f>VLOOKUP(AY40,'排出係数表'!$A$4:$D$202,4)</f>
        <v>#N/A</v>
      </c>
      <c r="BK40" s="257">
        <f t="shared" si="38"/>
      </c>
    </row>
    <row r="41" spans="1:63" s="124" customFormat="1" ht="13.5" customHeight="1">
      <c r="A41" s="120"/>
      <c r="B41" s="120"/>
      <c r="C41" s="155"/>
      <c r="D41" s="155"/>
      <c r="E41" s="155"/>
      <c r="F41" s="155"/>
      <c r="G41" s="156"/>
      <c r="H41" s="157"/>
      <c r="I41" s="155"/>
      <c r="J41" s="155"/>
      <c r="K41" s="158"/>
      <c r="L41" s="159"/>
      <c r="M41" s="244"/>
      <c r="N41" s="155"/>
      <c r="O41" s="345">
        <f t="shared" si="21"/>
      </c>
      <c r="P41" s="345">
        <f t="shared" si="0"/>
      </c>
      <c r="Q41" s="508"/>
      <c r="R41" s="346"/>
      <c r="S41" s="347"/>
      <c r="T41" s="348"/>
      <c r="U41" s="347"/>
      <c r="V41" s="348"/>
      <c r="W41" s="347"/>
      <c r="X41" s="348"/>
      <c r="Y41" s="347"/>
      <c r="Z41" s="348"/>
      <c r="AA41" s="340" t="e">
        <f t="shared" si="1"/>
        <v>#N/A</v>
      </c>
      <c r="AB41" s="339">
        <f t="shared" si="22"/>
      </c>
      <c r="AC41" s="339">
        <f t="shared" si="23"/>
      </c>
      <c r="AD41" s="255">
        <f t="shared" si="24"/>
      </c>
      <c r="AE41" s="256">
        <f t="shared" si="25"/>
      </c>
      <c r="AF41" s="256">
        <f t="shared" si="26"/>
      </c>
      <c r="AG41" s="255">
        <f t="shared" si="27"/>
      </c>
      <c r="AH41" s="255">
        <f t="shared" si="2"/>
      </c>
      <c r="AI41" s="255">
        <f t="shared" si="28"/>
      </c>
      <c r="AJ41" s="255">
        <f t="shared" si="29"/>
      </c>
      <c r="AK41" s="255">
        <f t="shared" si="3"/>
      </c>
      <c r="AL41" s="255">
        <f t="shared" si="4"/>
      </c>
      <c r="AM41" s="120">
        <f ca="1" t="shared" si="39"/>
        <v>0</v>
      </c>
      <c r="AN41" s="120" t="e">
        <f t="shared" si="6"/>
        <v>#N/A</v>
      </c>
      <c r="AO41" s="120">
        <f>ROWS($AO$4:AO41)-1</f>
        <v>37</v>
      </c>
      <c r="AP41" s="255" t="e">
        <f t="shared" si="40"/>
        <v>#N/A</v>
      </c>
      <c r="AQ41" s="120" t="e">
        <f t="shared" si="8"/>
        <v>#N/A</v>
      </c>
      <c r="AR41" s="120" t="e">
        <f t="shared" si="41"/>
        <v>#N/A</v>
      </c>
      <c r="AS41" s="121">
        <f t="shared" si="42"/>
        <v>1</v>
      </c>
      <c r="AT41" s="120" t="str">
        <f t="shared" si="43"/>
        <v> </v>
      </c>
      <c r="AU41" s="120" t="str">
        <f t="shared" si="44"/>
        <v> </v>
      </c>
      <c r="AV41" s="120" t="e">
        <f t="shared" si="13"/>
        <v>#N/A</v>
      </c>
      <c r="AW41" s="120" t="e">
        <f t="shared" si="14"/>
        <v>#N/A</v>
      </c>
      <c r="AX41" s="120">
        <f t="shared" si="15"/>
      </c>
      <c r="AY41" s="120" t="e">
        <f t="shared" si="16"/>
        <v>#N/A</v>
      </c>
      <c r="AZ41" s="120" t="e">
        <f>VLOOKUP(AY41,'排出係数表'!$A$4:$C$202,2,FALSE)</f>
        <v>#N/A</v>
      </c>
      <c r="BA41" s="120" t="e">
        <f t="shared" si="17"/>
        <v>#N/A</v>
      </c>
      <c r="BB41" s="120" t="e">
        <f>VLOOKUP(AY41,'排出係数表'!$A$4:$C$202,3,FALSE)</f>
        <v>#N/A</v>
      </c>
      <c r="BC41" s="120" t="e">
        <f t="shared" si="18"/>
        <v>#N/A</v>
      </c>
      <c r="BD41" s="120">
        <f t="shared" si="30"/>
        <v>1</v>
      </c>
      <c r="BE41" s="122">
        <f t="shared" si="19"/>
      </c>
      <c r="BF41" s="123" t="e">
        <f t="shared" si="45"/>
        <v>#VALUE!</v>
      </c>
      <c r="BG41" s="122">
        <f t="shared" si="35"/>
      </c>
      <c r="BH41" s="120" t="e">
        <f t="shared" si="36"/>
        <v>#VALUE!</v>
      </c>
      <c r="BI41" s="120" t="e">
        <f t="shared" si="37"/>
        <v>#VALUE!</v>
      </c>
      <c r="BJ41" s="122" t="e">
        <f>VLOOKUP(AY41,'排出係数表'!$A$4:$D$202,4)</f>
        <v>#N/A</v>
      </c>
      <c r="BK41" s="257">
        <f t="shared" si="38"/>
      </c>
    </row>
    <row r="42" spans="1:63" s="124" customFormat="1" ht="13.5" customHeight="1">
      <c r="A42" s="120"/>
      <c r="B42" s="120"/>
      <c r="C42" s="155"/>
      <c r="D42" s="155"/>
      <c r="E42" s="155"/>
      <c r="F42" s="155"/>
      <c r="G42" s="156"/>
      <c r="H42" s="157"/>
      <c r="I42" s="155"/>
      <c r="J42" s="155"/>
      <c r="K42" s="158"/>
      <c r="L42" s="159"/>
      <c r="M42" s="244"/>
      <c r="N42" s="155"/>
      <c r="O42" s="345">
        <f t="shared" si="21"/>
      </c>
      <c r="P42" s="345">
        <f t="shared" si="0"/>
      </c>
      <c r="Q42" s="508"/>
      <c r="R42" s="346"/>
      <c r="S42" s="347"/>
      <c r="T42" s="348"/>
      <c r="U42" s="347"/>
      <c r="V42" s="348"/>
      <c r="W42" s="347"/>
      <c r="X42" s="348"/>
      <c r="Y42" s="347"/>
      <c r="Z42" s="348"/>
      <c r="AA42" s="340" t="e">
        <f t="shared" si="1"/>
        <v>#N/A</v>
      </c>
      <c r="AB42" s="339">
        <f t="shared" si="22"/>
      </c>
      <c r="AC42" s="339">
        <f t="shared" si="23"/>
      </c>
      <c r="AD42" s="255">
        <f t="shared" si="24"/>
      </c>
      <c r="AE42" s="256">
        <f t="shared" si="25"/>
      </c>
      <c r="AF42" s="256">
        <f t="shared" si="26"/>
      </c>
      <c r="AG42" s="255">
        <f t="shared" si="27"/>
      </c>
      <c r="AH42" s="255">
        <f t="shared" si="2"/>
      </c>
      <c r="AI42" s="255">
        <f t="shared" si="28"/>
      </c>
      <c r="AJ42" s="255">
        <f t="shared" si="29"/>
      </c>
      <c r="AK42" s="255">
        <f t="shared" si="3"/>
      </c>
      <c r="AL42" s="255">
        <f t="shared" si="4"/>
      </c>
      <c r="AM42" s="120">
        <f ca="1" t="shared" si="39"/>
        <v>0</v>
      </c>
      <c r="AN42" s="120" t="e">
        <f t="shared" si="6"/>
        <v>#N/A</v>
      </c>
      <c r="AO42" s="120">
        <f>ROWS($AO$4:AO42)-1</f>
        <v>38</v>
      </c>
      <c r="AP42" s="255" t="e">
        <f t="shared" si="40"/>
        <v>#N/A</v>
      </c>
      <c r="AQ42" s="120" t="e">
        <f t="shared" si="8"/>
        <v>#N/A</v>
      </c>
      <c r="AR42" s="120" t="e">
        <f t="shared" si="41"/>
        <v>#N/A</v>
      </c>
      <c r="AS42" s="121">
        <f t="shared" si="42"/>
        <v>1</v>
      </c>
      <c r="AT42" s="120" t="str">
        <f t="shared" si="43"/>
        <v> </v>
      </c>
      <c r="AU42" s="120" t="str">
        <f t="shared" si="44"/>
        <v> </v>
      </c>
      <c r="AV42" s="120" t="e">
        <f t="shared" si="13"/>
        <v>#N/A</v>
      </c>
      <c r="AW42" s="120" t="e">
        <f t="shared" si="14"/>
        <v>#N/A</v>
      </c>
      <c r="AX42" s="120">
        <f t="shared" si="15"/>
      </c>
      <c r="AY42" s="120" t="e">
        <f t="shared" si="16"/>
        <v>#N/A</v>
      </c>
      <c r="AZ42" s="120" t="e">
        <f>VLOOKUP(AY42,'排出係数表'!$A$4:$C$202,2,FALSE)</f>
        <v>#N/A</v>
      </c>
      <c r="BA42" s="120" t="e">
        <f t="shared" si="17"/>
        <v>#N/A</v>
      </c>
      <c r="BB42" s="120" t="e">
        <f>VLOOKUP(AY42,'排出係数表'!$A$4:$C$202,3,FALSE)</f>
        <v>#N/A</v>
      </c>
      <c r="BC42" s="120" t="e">
        <f t="shared" si="18"/>
        <v>#N/A</v>
      </c>
      <c r="BD42" s="120">
        <f t="shared" si="30"/>
        <v>1</v>
      </c>
      <c r="BE42" s="122">
        <f t="shared" si="19"/>
      </c>
      <c r="BF42" s="123" t="e">
        <f t="shared" si="45"/>
        <v>#VALUE!</v>
      </c>
      <c r="BG42" s="122">
        <f t="shared" si="35"/>
      </c>
      <c r="BH42" s="120" t="e">
        <f t="shared" si="36"/>
        <v>#VALUE!</v>
      </c>
      <c r="BI42" s="120" t="e">
        <f t="shared" si="37"/>
        <v>#VALUE!</v>
      </c>
      <c r="BJ42" s="122" t="e">
        <f>VLOOKUP(AY42,'排出係数表'!$A$4:$D$202,4)</f>
        <v>#N/A</v>
      </c>
      <c r="BK42" s="257">
        <f t="shared" si="38"/>
      </c>
    </row>
    <row r="43" spans="1:63" s="124" customFormat="1" ht="13.5" customHeight="1">
      <c r="A43" s="120"/>
      <c r="B43" s="120"/>
      <c r="C43" s="155"/>
      <c r="D43" s="155"/>
      <c r="E43" s="155"/>
      <c r="F43" s="155"/>
      <c r="G43" s="156"/>
      <c r="H43" s="157"/>
      <c r="I43" s="155"/>
      <c r="J43" s="155"/>
      <c r="K43" s="158"/>
      <c r="L43" s="159"/>
      <c r="M43" s="244"/>
      <c r="N43" s="155"/>
      <c r="O43" s="345">
        <f t="shared" si="21"/>
      </c>
      <c r="P43" s="345">
        <f t="shared" si="0"/>
      </c>
      <c r="Q43" s="508"/>
      <c r="R43" s="346"/>
      <c r="S43" s="347"/>
      <c r="T43" s="348"/>
      <c r="U43" s="347"/>
      <c r="V43" s="348"/>
      <c r="W43" s="347"/>
      <c r="X43" s="348"/>
      <c r="Y43" s="347"/>
      <c r="Z43" s="348"/>
      <c r="AA43" s="340" t="e">
        <f t="shared" si="1"/>
        <v>#N/A</v>
      </c>
      <c r="AB43" s="339">
        <f t="shared" si="22"/>
      </c>
      <c r="AC43" s="339">
        <f t="shared" si="23"/>
      </c>
      <c r="AD43" s="255">
        <f t="shared" si="24"/>
      </c>
      <c r="AE43" s="256">
        <f t="shared" si="25"/>
      </c>
      <c r="AF43" s="256">
        <f t="shared" si="26"/>
      </c>
      <c r="AG43" s="255">
        <f t="shared" si="27"/>
      </c>
      <c r="AH43" s="255">
        <f t="shared" si="2"/>
      </c>
      <c r="AI43" s="255">
        <f t="shared" si="28"/>
      </c>
      <c r="AJ43" s="255">
        <f t="shared" si="29"/>
      </c>
      <c r="AK43" s="255">
        <f t="shared" si="3"/>
      </c>
      <c r="AL43" s="255">
        <f t="shared" si="4"/>
      </c>
      <c r="AM43" s="120">
        <f ca="1" t="shared" si="39"/>
        <v>0</v>
      </c>
      <c r="AN43" s="120" t="e">
        <f t="shared" si="6"/>
        <v>#N/A</v>
      </c>
      <c r="AO43" s="120">
        <f>ROWS($AO$4:AO43)-1</f>
        <v>39</v>
      </c>
      <c r="AP43" s="255" t="e">
        <f t="shared" si="40"/>
        <v>#N/A</v>
      </c>
      <c r="AQ43" s="120" t="e">
        <f t="shared" si="8"/>
        <v>#N/A</v>
      </c>
      <c r="AR43" s="120" t="e">
        <f t="shared" si="41"/>
        <v>#N/A</v>
      </c>
      <c r="AS43" s="121">
        <f t="shared" si="42"/>
        <v>1</v>
      </c>
      <c r="AT43" s="120" t="str">
        <f t="shared" si="43"/>
        <v> </v>
      </c>
      <c r="AU43" s="120" t="str">
        <f t="shared" si="44"/>
        <v> </v>
      </c>
      <c r="AV43" s="120" t="e">
        <f t="shared" si="13"/>
        <v>#N/A</v>
      </c>
      <c r="AW43" s="120" t="e">
        <f t="shared" si="14"/>
        <v>#N/A</v>
      </c>
      <c r="AX43" s="120">
        <f t="shared" si="15"/>
      </c>
      <c r="AY43" s="120" t="e">
        <f t="shared" si="16"/>
        <v>#N/A</v>
      </c>
      <c r="AZ43" s="120" t="e">
        <f>VLOOKUP(AY43,'排出係数表'!$A$4:$C$202,2,FALSE)</f>
        <v>#N/A</v>
      </c>
      <c r="BA43" s="120" t="e">
        <f t="shared" si="17"/>
        <v>#N/A</v>
      </c>
      <c r="BB43" s="120" t="e">
        <f>VLOOKUP(AY43,'排出係数表'!$A$4:$C$202,3,FALSE)</f>
        <v>#N/A</v>
      </c>
      <c r="BC43" s="120" t="e">
        <f t="shared" si="18"/>
        <v>#N/A</v>
      </c>
      <c r="BD43" s="120">
        <f t="shared" si="30"/>
        <v>1</v>
      </c>
      <c r="BE43" s="122">
        <f t="shared" si="19"/>
      </c>
      <c r="BF43" s="123" t="e">
        <f t="shared" si="45"/>
        <v>#VALUE!</v>
      </c>
      <c r="BG43" s="122">
        <f t="shared" si="35"/>
      </c>
      <c r="BH43" s="120" t="e">
        <f t="shared" si="36"/>
        <v>#VALUE!</v>
      </c>
      <c r="BI43" s="120" t="e">
        <f t="shared" si="37"/>
        <v>#VALUE!</v>
      </c>
      <c r="BJ43" s="122" t="e">
        <f>VLOOKUP(AY43,'排出係数表'!$A$4:$D$202,4)</f>
        <v>#N/A</v>
      </c>
      <c r="BK43" s="257">
        <f t="shared" si="38"/>
      </c>
    </row>
    <row r="44" spans="1:63" s="124" customFormat="1" ht="13.5" customHeight="1">
      <c r="A44" s="120"/>
      <c r="B44" s="120"/>
      <c r="C44" s="155"/>
      <c r="D44" s="155"/>
      <c r="E44" s="155"/>
      <c r="F44" s="155"/>
      <c r="G44" s="156"/>
      <c r="H44" s="157"/>
      <c r="I44" s="155"/>
      <c r="J44" s="155"/>
      <c r="K44" s="158"/>
      <c r="L44" s="159"/>
      <c r="M44" s="244"/>
      <c r="N44" s="155"/>
      <c r="O44" s="345">
        <f t="shared" si="21"/>
      </c>
      <c r="P44" s="345">
        <f t="shared" si="0"/>
      </c>
      <c r="Q44" s="508"/>
      <c r="R44" s="346"/>
      <c r="S44" s="347"/>
      <c r="T44" s="348"/>
      <c r="U44" s="347"/>
      <c r="V44" s="348"/>
      <c r="W44" s="347"/>
      <c r="X44" s="348"/>
      <c r="Y44" s="347"/>
      <c r="Z44" s="348"/>
      <c r="AA44" s="340" t="e">
        <f t="shared" si="1"/>
        <v>#N/A</v>
      </c>
      <c r="AB44" s="339">
        <f t="shared" si="22"/>
      </c>
      <c r="AC44" s="339">
        <f t="shared" si="23"/>
      </c>
      <c r="AD44" s="255">
        <f t="shared" si="24"/>
      </c>
      <c r="AE44" s="256">
        <f t="shared" si="25"/>
      </c>
      <c r="AF44" s="256">
        <f t="shared" si="26"/>
      </c>
      <c r="AG44" s="255">
        <f t="shared" si="27"/>
      </c>
      <c r="AH44" s="255">
        <f t="shared" si="2"/>
      </c>
      <c r="AI44" s="255">
        <f t="shared" si="28"/>
      </c>
      <c r="AJ44" s="255">
        <f t="shared" si="29"/>
      </c>
      <c r="AK44" s="255">
        <f t="shared" si="3"/>
      </c>
      <c r="AL44" s="255">
        <f t="shared" si="4"/>
      </c>
      <c r="AM44" s="120">
        <f ca="1" t="shared" si="39"/>
        <v>0</v>
      </c>
      <c r="AN44" s="120" t="e">
        <f t="shared" si="6"/>
        <v>#N/A</v>
      </c>
      <c r="AO44" s="120">
        <f>ROWS($AO$4:AO44)-1</f>
        <v>40</v>
      </c>
      <c r="AP44" s="255" t="e">
        <f t="shared" si="40"/>
        <v>#N/A</v>
      </c>
      <c r="AQ44" s="120" t="e">
        <f t="shared" si="8"/>
        <v>#N/A</v>
      </c>
      <c r="AR44" s="120" t="e">
        <f t="shared" si="41"/>
        <v>#N/A</v>
      </c>
      <c r="AS44" s="121">
        <f t="shared" si="42"/>
        <v>1</v>
      </c>
      <c r="AT44" s="120" t="str">
        <f t="shared" si="43"/>
        <v> </v>
      </c>
      <c r="AU44" s="120" t="str">
        <f t="shared" si="44"/>
        <v> </v>
      </c>
      <c r="AV44" s="120" t="e">
        <f t="shared" si="13"/>
        <v>#N/A</v>
      </c>
      <c r="AW44" s="120" t="e">
        <f t="shared" si="14"/>
        <v>#N/A</v>
      </c>
      <c r="AX44" s="120">
        <f t="shared" si="15"/>
      </c>
      <c r="AY44" s="120" t="e">
        <f t="shared" si="16"/>
        <v>#N/A</v>
      </c>
      <c r="AZ44" s="120" t="e">
        <f>VLOOKUP(AY44,'排出係数表'!$A$4:$C$202,2,FALSE)</f>
        <v>#N/A</v>
      </c>
      <c r="BA44" s="120" t="e">
        <f t="shared" si="17"/>
        <v>#N/A</v>
      </c>
      <c r="BB44" s="120" t="e">
        <f>VLOOKUP(AY44,'排出係数表'!$A$4:$C$202,3,FALSE)</f>
        <v>#N/A</v>
      </c>
      <c r="BC44" s="120" t="e">
        <f t="shared" si="18"/>
        <v>#N/A</v>
      </c>
      <c r="BD44" s="120">
        <f t="shared" si="30"/>
        <v>1</v>
      </c>
      <c r="BE44" s="122">
        <f t="shared" si="19"/>
      </c>
      <c r="BF44" s="123" t="e">
        <f t="shared" si="45"/>
        <v>#VALUE!</v>
      </c>
      <c r="BG44" s="122">
        <f t="shared" si="35"/>
      </c>
      <c r="BH44" s="120" t="e">
        <f t="shared" si="36"/>
        <v>#VALUE!</v>
      </c>
      <c r="BI44" s="120" t="e">
        <f t="shared" si="37"/>
        <v>#VALUE!</v>
      </c>
      <c r="BJ44" s="122" t="e">
        <f>VLOOKUP(AY44,'排出係数表'!$A$4:$D$202,4)</f>
        <v>#N/A</v>
      </c>
      <c r="BK44" s="257">
        <f t="shared" si="38"/>
      </c>
    </row>
    <row r="45" spans="1:63" s="124" customFormat="1" ht="13.5" customHeight="1">
      <c r="A45" s="120"/>
      <c r="B45" s="120"/>
      <c r="C45" s="155"/>
      <c r="D45" s="155"/>
      <c r="E45" s="155"/>
      <c r="F45" s="155"/>
      <c r="G45" s="156"/>
      <c r="H45" s="157"/>
      <c r="I45" s="155"/>
      <c r="J45" s="155"/>
      <c r="K45" s="158"/>
      <c r="L45" s="159"/>
      <c r="M45" s="244"/>
      <c r="N45" s="155"/>
      <c r="O45" s="345">
        <f t="shared" si="21"/>
      </c>
      <c r="P45" s="345">
        <f t="shared" si="0"/>
      </c>
      <c r="Q45" s="508"/>
      <c r="R45" s="346"/>
      <c r="S45" s="347"/>
      <c r="T45" s="348"/>
      <c r="U45" s="347"/>
      <c r="V45" s="348"/>
      <c r="W45" s="347"/>
      <c r="X45" s="348"/>
      <c r="Y45" s="347"/>
      <c r="Z45" s="348"/>
      <c r="AA45" s="340" t="e">
        <f t="shared" si="1"/>
        <v>#N/A</v>
      </c>
      <c r="AB45" s="339">
        <f t="shared" si="22"/>
      </c>
      <c r="AC45" s="339">
        <f t="shared" si="23"/>
      </c>
      <c r="AD45" s="255">
        <f t="shared" si="24"/>
      </c>
      <c r="AE45" s="256">
        <f t="shared" si="25"/>
      </c>
      <c r="AF45" s="256">
        <f t="shared" si="26"/>
      </c>
      <c r="AG45" s="255">
        <f t="shared" si="27"/>
      </c>
      <c r="AH45" s="255">
        <f t="shared" si="2"/>
      </c>
      <c r="AI45" s="255">
        <f t="shared" si="28"/>
      </c>
      <c r="AJ45" s="255">
        <f t="shared" si="29"/>
      </c>
      <c r="AK45" s="255">
        <f t="shared" si="3"/>
      </c>
      <c r="AL45" s="255">
        <f t="shared" si="4"/>
      </c>
      <c r="AM45" s="120">
        <f ca="1" t="shared" si="39"/>
        <v>0</v>
      </c>
      <c r="AN45" s="120" t="e">
        <f t="shared" si="6"/>
        <v>#N/A</v>
      </c>
      <c r="AO45" s="120">
        <f>ROWS($AO$4:AO45)-1</f>
        <v>41</v>
      </c>
      <c r="AP45" s="255" t="e">
        <f t="shared" si="40"/>
        <v>#N/A</v>
      </c>
      <c r="AQ45" s="120" t="e">
        <f t="shared" si="8"/>
        <v>#N/A</v>
      </c>
      <c r="AR45" s="120" t="e">
        <f t="shared" si="41"/>
        <v>#N/A</v>
      </c>
      <c r="AS45" s="121">
        <f t="shared" si="42"/>
        <v>1</v>
      </c>
      <c r="AT45" s="120" t="str">
        <f t="shared" si="43"/>
        <v> </v>
      </c>
      <c r="AU45" s="120" t="str">
        <f t="shared" si="44"/>
        <v> </v>
      </c>
      <c r="AV45" s="120" t="e">
        <f t="shared" si="13"/>
        <v>#N/A</v>
      </c>
      <c r="AW45" s="120" t="e">
        <f t="shared" si="14"/>
        <v>#N/A</v>
      </c>
      <c r="AX45" s="120">
        <f t="shared" si="15"/>
      </c>
      <c r="AY45" s="120" t="e">
        <f t="shared" si="16"/>
        <v>#N/A</v>
      </c>
      <c r="AZ45" s="120" t="e">
        <f>VLOOKUP(AY45,'排出係数表'!$A$4:$C$202,2,FALSE)</f>
        <v>#N/A</v>
      </c>
      <c r="BA45" s="120" t="e">
        <f t="shared" si="17"/>
        <v>#N/A</v>
      </c>
      <c r="BB45" s="120" t="e">
        <f>VLOOKUP(AY45,'排出係数表'!$A$4:$C$202,3,FALSE)</f>
        <v>#N/A</v>
      </c>
      <c r="BC45" s="120" t="e">
        <f t="shared" si="18"/>
        <v>#N/A</v>
      </c>
      <c r="BD45" s="120">
        <f t="shared" si="30"/>
        <v>1</v>
      </c>
      <c r="BE45" s="122">
        <f t="shared" si="19"/>
      </c>
      <c r="BF45" s="123" t="e">
        <f t="shared" si="45"/>
        <v>#VALUE!</v>
      </c>
      <c r="BG45" s="122">
        <f t="shared" si="35"/>
      </c>
      <c r="BH45" s="120" t="e">
        <f t="shared" si="36"/>
        <v>#VALUE!</v>
      </c>
      <c r="BI45" s="120" t="e">
        <f t="shared" si="37"/>
        <v>#VALUE!</v>
      </c>
      <c r="BJ45" s="122" t="e">
        <f>VLOOKUP(AY45,'排出係数表'!$A$4:$D$202,4)</f>
        <v>#N/A</v>
      </c>
      <c r="BK45" s="257">
        <f t="shared" si="38"/>
      </c>
    </row>
    <row r="46" spans="1:63" s="124" customFormat="1" ht="13.5" customHeight="1">
      <c r="A46" s="120"/>
      <c r="B46" s="120"/>
      <c r="C46" s="155"/>
      <c r="D46" s="155"/>
      <c r="E46" s="155"/>
      <c r="F46" s="155"/>
      <c r="G46" s="156"/>
      <c r="H46" s="157"/>
      <c r="I46" s="155"/>
      <c r="J46" s="155"/>
      <c r="K46" s="158"/>
      <c r="L46" s="159"/>
      <c r="M46" s="244"/>
      <c r="N46" s="155"/>
      <c r="O46" s="345">
        <f t="shared" si="21"/>
      </c>
      <c r="P46" s="345">
        <f t="shared" si="0"/>
      </c>
      <c r="Q46" s="508"/>
      <c r="R46" s="346"/>
      <c r="S46" s="347"/>
      <c r="T46" s="348"/>
      <c r="U46" s="347"/>
      <c r="V46" s="348"/>
      <c r="W46" s="347"/>
      <c r="X46" s="348"/>
      <c r="Y46" s="347"/>
      <c r="Z46" s="348"/>
      <c r="AA46" s="340" t="e">
        <f t="shared" si="1"/>
        <v>#N/A</v>
      </c>
      <c r="AB46" s="339">
        <f t="shared" si="22"/>
      </c>
      <c r="AC46" s="339">
        <f t="shared" si="23"/>
      </c>
      <c r="AD46" s="255">
        <f t="shared" si="24"/>
      </c>
      <c r="AE46" s="256">
        <f t="shared" si="25"/>
      </c>
      <c r="AF46" s="256">
        <f t="shared" si="26"/>
      </c>
      <c r="AG46" s="255">
        <f t="shared" si="27"/>
      </c>
      <c r="AH46" s="255">
        <f t="shared" si="2"/>
      </c>
      <c r="AI46" s="255">
        <f t="shared" si="28"/>
      </c>
      <c r="AJ46" s="255">
        <f t="shared" si="29"/>
      </c>
      <c r="AK46" s="255">
        <f t="shared" si="3"/>
      </c>
      <c r="AL46" s="255">
        <f t="shared" si="4"/>
      </c>
      <c r="AM46" s="120">
        <f ca="1" t="shared" si="39"/>
        <v>0</v>
      </c>
      <c r="AN46" s="120" t="e">
        <f t="shared" si="6"/>
        <v>#N/A</v>
      </c>
      <c r="AO46" s="120">
        <f>ROWS($AO$4:AO46)-1</f>
        <v>42</v>
      </c>
      <c r="AP46" s="255" t="e">
        <f t="shared" si="40"/>
        <v>#N/A</v>
      </c>
      <c r="AQ46" s="120" t="e">
        <f t="shared" si="8"/>
        <v>#N/A</v>
      </c>
      <c r="AR46" s="120" t="e">
        <f t="shared" si="41"/>
        <v>#N/A</v>
      </c>
      <c r="AS46" s="121">
        <f t="shared" si="42"/>
        <v>1</v>
      </c>
      <c r="AT46" s="120" t="str">
        <f t="shared" si="43"/>
        <v> </v>
      </c>
      <c r="AU46" s="120" t="str">
        <f t="shared" si="44"/>
        <v> </v>
      </c>
      <c r="AV46" s="120" t="e">
        <f t="shared" si="13"/>
        <v>#N/A</v>
      </c>
      <c r="AW46" s="120" t="e">
        <f t="shared" si="14"/>
        <v>#N/A</v>
      </c>
      <c r="AX46" s="120">
        <f t="shared" si="15"/>
      </c>
      <c r="AY46" s="120" t="e">
        <f t="shared" si="16"/>
        <v>#N/A</v>
      </c>
      <c r="AZ46" s="120" t="e">
        <f>VLOOKUP(AY46,'排出係数表'!$A$4:$C$202,2,FALSE)</f>
        <v>#N/A</v>
      </c>
      <c r="BA46" s="120" t="e">
        <f t="shared" si="17"/>
        <v>#N/A</v>
      </c>
      <c r="BB46" s="120" t="e">
        <f>VLOOKUP(AY46,'排出係数表'!$A$4:$C$202,3,FALSE)</f>
        <v>#N/A</v>
      </c>
      <c r="BC46" s="120" t="e">
        <f t="shared" si="18"/>
        <v>#N/A</v>
      </c>
      <c r="BD46" s="120">
        <f t="shared" si="30"/>
        <v>1</v>
      </c>
      <c r="BE46" s="122">
        <f t="shared" si="19"/>
      </c>
      <c r="BF46" s="123" t="e">
        <f t="shared" si="45"/>
        <v>#VALUE!</v>
      </c>
      <c r="BG46" s="122">
        <f t="shared" si="35"/>
      </c>
      <c r="BH46" s="120" t="e">
        <f t="shared" si="36"/>
        <v>#VALUE!</v>
      </c>
      <c r="BI46" s="120" t="e">
        <f t="shared" si="37"/>
        <v>#VALUE!</v>
      </c>
      <c r="BJ46" s="122" t="e">
        <f>VLOOKUP(AY46,'排出係数表'!$A$4:$D$202,4)</f>
        <v>#N/A</v>
      </c>
      <c r="BK46" s="257">
        <f t="shared" si="38"/>
      </c>
    </row>
    <row r="47" spans="1:63" s="124" customFormat="1" ht="13.5" customHeight="1">
      <c r="A47" s="120"/>
      <c r="B47" s="120"/>
      <c r="C47" s="155"/>
      <c r="D47" s="155"/>
      <c r="E47" s="155"/>
      <c r="F47" s="155"/>
      <c r="G47" s="156"/>
      <c r="H47" s="157"/>
      <c r="I47" s="155"/>
      <c r="J47" s="155"/>
      <c r="K47" s="158"/>
      <c r="L47" s="159"/>
      <c r="M47" s="244"/>
      <c r="N47" s="155"/>
      <c r="O47" s="345">
        <f t="shared" si="21"/>
      </c>
      <c r="P47" s="345">
        <f t="shared" si="0"/>
      </c>
      <c r="Q47" s="508"/>
      <c r="R47" s="346"/>
      <c r="S47" s="347"/>
      <c r="T47" s="348"/>
      <c r="U47" s="347"/>
      <c r="V47" s="348"/>
      <c r="W47" s="347"/>
      <c r="X47" s="348"/>
      <c r="Y47" s="347"/>
      <c r="Z47" s="348"/>
      <c r="AA47" s="340" t="e">
        <f t="shared" si="1"/>
        <v>#N/A</v>
      </c>
      <c r="AB47" s="339">
        <f t="shared" si="22"/>
      </c>
      <c r="AC47" s="339">
        <f t="shared" si="23"/>
      </c>
      <c r="AD47" s="255">
        <f t="shared" si="24"/>
      </c>
      <c r="AE47" s="256">
        <f t="shared" si="25"/>
      </c>
      <c r="AF47" s="256">
        <f t="shared" si="26"/>
      </c>
      <c r="AG47" s="255">
        <f t="shared" si="27"/>
      </c>
      <c r="AH47" s="255">
        <f t="shared" si="2"/>
      </c>
      <c r="AI47" s="255">
        <f t="shared" si="28"/>
      </c>
      <c r="AJ47" s="255">
        <f t="shared" si="29"/>
      </c>
      <c r="AK47" s="255">
        <f t="shared" si="3"/>
      </c>
      <c r="AL47" s="255">
        <f t="shared" si="4"/>
      </c>
      <c r="AM47" s="120">
        <f ca="1" t="shared" si="39"/>
        <v>0</v>
      </c>
      <c r="AN47" s="120" t="e">
        <f t="shared" si="6"/>
        <v>#N/A</v>
      </c>
      <c r="AO47" s="120">
        <f>ROWS($AO$4:AO47)-1</f>
        <v>43</v>
      </c>
      <c r="AP47" s="255" t="e">
        <f t="shared" si="40"/>
        <v>#N/A</v>
      </c>
      <c r="AQ47" s="120" t="e">
        <f t="shared" si="8"/>
        <v>#N/A</v>
      </c>
      <c r="AR47" s="120" t="e">
        <f t="shared" si="41"/>
        <v>#N/A</v>
      </c>
      <c r="AS47" s="121">
        <f t="shared" si="42"/>
        <v>1</v>
      </c>
      <c r="AT47" s="120" t="str">
        <f t="shared" si="43"/>
        <v> </v>
      </c>
      <c r="AU47" s="120" t="str">
        <f t="shared" si="44"/>
        <v> </v>
      </c>
      <c r="AV47" s="120" t="e">
        <f t="shared" si="13"/>
        <v>#N/A</v>
      </c>
      <c r="AW47" s="120" t="e">
        <f t="shared" si="14"/>
        <v>#N/A</v>
      </c>
      <c r="AX47" s="120">
        <f t="shared" si="15"/>
      </c>
      <c r="AY47" s="120" t="e">
        <f t="shared" si="16"/>
        <v>#N/A</v>
      </c>
      <c r="AZ47" s="120" t="e">
        <f>VLOOKUP(AY47,'排出係数表'!$A$4:$C$202,2,FALSE)</f>
        <v>#N/A</v>
      </c>
      <c r="BA47" s="120" t="e">
        <f t="shared" si="17"/>
        <v>#N/A</v>
      </c>
      <c r="BB47" s="120" t="e">
        <f>VLOOKUP(AY47,'排出係数表'!$A$4:$C$202,3,FALSE)</f>
        <v>#N/A</v>
      </c>
      <c r="BC47" s="120" t="e">
        <f t="shared" si="18"/>
        <v>#N/A</v>
      </c>
      <c r="BD47" s="120">
        <f t="shared" si="30"/>
        <v>1</v>
      </c>
      <c r="BE47" s="122">
        <f t="shared" si="19"/>
      </c>
      <c r="BF47" s="123" t="e">
        <f t="shared" si="45"/>
        <v>#VALUE!</v>
      </c>
      <c r="BG47" s="122">
        <f t="shared" si="35"/>
      </c>
      <c r="BH47" s="120" t="e">
        <f t="shared" si="36"/>
        <v>#VALUE!</v>
      </c>
      <c r="BI47" s="120" t="e">
        <f t="shared" si="37"/>
        <v>#VALUE!</v>
      </c>
      <c r="BJ47" s="122" t="e">
        <f>VLOOKUP(AY47,'排出係数表'!$A$4:$D$202,4)</f>
        <v>#N/A</v>
      </c>
      <c r="BK47" s="257">
        <f t="shared" si="38"/>
      </c>
    </row>
    <row r="48" spans="1:63" s="124" customFormat="1" ht="13.5" customHeight="1">
      <c r="A48" s="120"/>
      <c r="B48" s="120"/>
      <c r="C48" s="155"/>
      <c r="D48" s="155"/>
      <c r="E48" s="155"/>
      <c r="F48" s="155"/>
      <c r="G48" s="156"/>
      <c r="H48" s="157"/>
      <c r="I48" s="155"/>
      <c r="J48" s="155"/>
      <c r="K48" s="158"/>
      <c r="L48" s="159"/>
      <c r="M48" s="244"/>
      <c r="N48" s="155"/>
      <c r="O48" s="345">
        <f t="shared" si="21"/>
      </c>
      <c r="P48" s="345">
        <f t="shared" si="0"/>
      </c>
      <c r="Q48" s="508"/>
      <c r="R48" s="346"/>
      <c r="S48" s="347"/>
      <c r="T48" s="348"/>
      <c r="U48" s="347"/>
      <c r="V48" s="348"/>
      <c r="W48" s="347"/>
      <c r="X48" s="348"/>
      <c r="Y48" s="347"/>
      <c r="Z48" s="348"/>
      <c r="AA48" s="340" t="e">
        <f t="shared" si="1"/>
        <v>#N/A</v>
      </c>
      <c r="AB48" s="339">
        <f t="shared" si="22"/>
      </c>
      <c r="AC48" s="339">
        <f t="shared" si="23"/>
      </c>
      <c r="AD48" s="255">
        <f t="shared" si="24"/>
      </c>
      <c r="AE48" s="256">
        <f t="shared" si="25"/>
      </c>
      <c r="AF48" s="256">
        <f t="shared" si="26"/>
      </c>
      <c r="AG48" s="255">
        <f t="shared" si="27"/>
      </c>
      <c r="AH48" s="255">
        <f t="shared" si="2"/>
      </c>
      <c r="AI48" s="255">
        <f t="shared" si="28"/>
      </c>
      <c r="AJ48" s="255">
        <f t="shared" si="29"/>
      </c>
      <c r="AK48" s="255">
        <f t="shared" si="3"/>
      </c>
      <c r="AL48" s="255">
        <f t="shared" si="4"/>
      </c>
      <c r="AM48" s="120">
        <f ca="1" t="shared" si="39"/>
        <v>0</v>
      </c>
      <c r="AN48" s="120" t="e">
        <f t="shared" si="6"/>
        <v>#N/A</v>
      </c>
      <c r="AO48" s="120">
        <f>ROWS($AO$4:AO48)-1</f>
        <v>44</v>
      </c>
      <c r="AP48" s="255" t="e">
        <f t="shared" si="40"/>
        <v>#N/A</v>
      </c>
      <c r="AQ48" s="120" t="e">
        <f t="shared" si="8"/>
        <v>#N/A</v>
      </c>
      <c r="AR48" s="120" t="e">
        <f t="shared" si="41"/>
        <v>#N/A</v>
      </c>
      <c r="AS48" s="121">
        <f t="shared" si="42"/>
        <v>1</v>
      </c>
      <c r="AT48" s="120" t="str">
        <f t="shared" si="43"/>
        <v> </v>
      </c>
      <c r="AU48" s="120" t="str">
        <f t="shared" si="44"/>
        <v> </v>
      </c>
      <c r="AV48" s="120" t="e">
        <f t="shared" si="13"/>
        <v>#N/A</v>
      </c>
      <c r="AW48" s="120" t="e">
        <f t="shared" si="14"/>
        <v>#N/A</v>
      </c>
      <c r="AX48" s="120">
        <f t="shared" si="15"/>
      </c>
      <c r="AY48" s="120" t="e">
        <f t="shared" si="16"/>
        <v>#N/A</v>
      </c>
      <c r="AZ48" s="120" t="e">
        <f>VLOOKUP(AY48,'排出係数表'!$A$4:$C$202,2,FALSE)</f>
        <v>#N/A</v>
      </c>
      <c r="BA48" s="120" t="e">
        <f t="shared" si="17"/>
        <v>#N/A</v>
      </c>
      <c r="BB48" s="120" t="e">
        <f>VLOOKUP(AY48,'排出係数表'!$A$4:$C$202,3,FALSE)</f>
        <v>#N/A</v>
      </c>
      <c r="BC48" s="120" t="e">
        <f t="shared" si="18"/>
        <v>#N/A</v>
      </c>
      <c r="BD48" s="120">
        <f t="shared" si="30"/>
        <v>1</v>
      </c>
      <c r="BE48" s="122">
        <f t="shared" si="19"/>
      </c>
      <c r="BF48" s="123" t="e">
        <f t="shared" si="45"/>
        <v>#VALUE!</v>
      </c>
      <c r="BG48" s="122">
        <f t="shared" si="35"/>
      </c>
      <c r="BH48" s="120" t="e">
        <f t="shared" si="36"/>
        <v>#VALUE!</v>
      </c>
      <c r="BI48" s="120" t="e">
        <f t="shared" si="37"/>
        <v>#VALUE!</v>
      </c>
      <c r="BJ48" s="122" t="e">
        <f>VLOOKUP(AY48,'排出係数表'!$A$4:$D$202,4)</f>
        <v>#N/A</v>
      </c>
      <c r="BK48" s="257">
        <f t="shared" si="38"/>
      </c>
    </row>
    <row r="49" spans="1:63" s="124" customFormat="1" ht="13.5" customHeight="1">
      <c r="A49" s="120"/>
      <c r="B49" s="120"/>
      <c r="C49" s="155"/>
      <c r="D49" s="155"/>
      <c r="E49" s="155"/>
      <c r="F49" s="155"/>
      <c r="G49" s="156"/>
      <c r="H49" s="157"/>
      <c r="I49" s="155"/>
      <c r="J49" s="155"/>
      <c r="K49" s="158"/>
      <c r="L49" s="159"/>
      <c r="M49" s="244"/>
      <c r="N49" s="155"/>
      <c r="O49" s="345">
        <f t="shared" si="21"/>
      </c>
      <c r="P49" s="345">
        <f t="shared" si="0"/>
      </c>
      <c r="Q49" s="508"/>
      <c r="R49" s="346"/>
      <c r="S49" s="347"/>
      <c r="T49" s="348"/>
      <c r="U49" s="347"/>
      <c r="V49" s="348"/>
      <c r="W49" s="347"/>
      <c r="X49" s="348"/>
      <c r="Y49" s="347"/>
      <c r="Z49" s="348"/>
      <c r="AA49" s="340" t="e">
        <f t="shared" si="1"/>
        <v>#N/A</v>
      </c>
      <c r="AB49" s="339">
        <f t="shared" si="22"/>
      </c>
      <c r="AC49" s="339">
        <f t="shared" si="23"/>
      </c>
      <c r="AD49" s="255">
        <f t="shared" si="24"/>
      </c>
      <c r="AE49" s="256">
        <f t="shared" si="25"/>
      </c>
      <c r="AF49" s="256">
        <f t="shared" si="26"/>
      </c>
      <c r="AG49" s="255">
        <f t="shared" si="27"/>
      </c>
      <c r="AH49" s="255">
        <f t="shared" si="2"/>
      </c>
      <c r="AI49" s="255">
        <f t="shared" si="28"/>
      </c>
      <c r="AJ49" s="255">
        <f t="shared" si="29"/>
      </c>
      <c r="AK49" s="255">
        <f t="shared" si="3"/>
      </c>
      <c r="AL49" s="255">
        <f t="shared" si="4"/>
      </c>
      <c r="AM49" s="120">
        <f ca="1" t="shared" si="39"/>
        <v>0</v>
      </c>
      <c r="AN49" s="120" t="e">
        <f t="shared" si="6"/>
        <v>#N/A</v>
      </c>
      <c r="AO49" s="120">
        <f>ROWS($AO$4:AO49)-1</f>
        <v>45</v>
      </c>
      <c r="AP49" s="255" t="e">
        <f t="shared" si="40"/>
        <v>#N/A</v>
      </c>
      <c r="AQ49" s="120" t="e">
        <f t="shared" si="8"/>
        <v>#N/A</v>
      </c>
      <c r="AR49" s="120" t="e">
        <f t="shared" si="41"/>
        <v>#N/A</v>
      </c>
      <c r="AS49" s="121">
        <f t="shared" si="42"/>
        <v>1</v>
      </c>
      <c r="AT49" s="120" t="str">
        <f t="shared" si="43"/>
        <v> </v>
      </c>
      <c r="AU49" s="120" t="str">
        <f t="shared" si="44"/>
        <v> </v>
      </c>
      <c r="AV49" s="120" t="e">
        <f t="shared" si="13"/>
        <v>#N/A</v>
      </c>
      <c r="AW49" s="120" t="e">
        <f t="shared" si="14"/>
        <v>#N/A</v>
      </c>
      <c r="AX49" s="120">
        <f t="shared" si="15"/>
      </c>
      <c r="AY49" s="120" t="e">
        <f t="shared" si="16"/>
        <v>#N/A</v>
      </c>
      <c r="AZ49" s="120" t="e">
        <f>VLOOKUP(AY49,'排出係数表'!$A$4:$C$202,2,FALSE)</f>
        <v>#N/A</v>
      </c>
      <c r="BA49" s="120" t="e">
        <f t="shared" si="17"/>
        <v>#N/A</v>
      </c>
      <c r="BB49" s="120" t="e">
        <f>VLOOKUP(AY49,'排出係数表'!$A$4:$C$202,3,FALSE)</f>
        <v>#N/A</v>
      </c>
      <c r="BC49" s="120" t="e">
        <f t="shared" si="18"/>
        <v>#N/A</v>
      </c>
      <c r="BD49" s="120">
        <f t="shared" si="30"/>
        <v>1</v>
      </c>
      <c r="BE49" s="122">
        <f t="shared" si="19"/>
      </c>
      <c r="BF49" s="123" t="e">
        <f t="shared" si="45"/>
        <v>#VALUE!</v>
      </c>
      <c r="BG49" s="122">
        <f t="shared" si="35"/>
      </c>
      <c r="BH49" s="120" t="e">
        <f t="shared" si="36"/>
        <v>#VALUE!</v>
      </c>
      <c r="BI49" s="120" t="e">
        <f t="shared" si="37"/>
        <v>#VALUE!</v>
      </c>
      <c r="BJ49" s="122" t="e">
        <f>VLOOKUP(AY49,'排出係数表'!$A$4:$D$202,4)</f>
        <v>#N/A</v>
      </c>
      <c r="BK49" s="257">
        <f t="shared" si="38"/>
      </c>
    </row>
    <row r="50" spans="1:63" s="124" customFormat="1" ht="13.5" customHeight="1">
      <c r="A50" s="120"/>
      <c r="B50" s="120"/>
      <c r="C50" s="155"/>
      <c r="D50" s="155"/>
      <c r="E50" s="155"/>
      <c r="F50" s="155"/>
      <c r="G50" s="156"/>
      <c r="H50" s="157"/>
      <c r="I50" s="155"/>
      <c r="J50" s="155"/>
      <c r="K50" s="158"/>
      <c r="L50" s="159"/>
      <c r="M50" s="244"/>
      <c r="N50" s="155"/>
      <c r="O50" s="345">
        <f t="shared" si="21"/>
      </c>
      <c r="P50" s="345">
        <f t="shared" si="0"/>
      </c>
      <c r="Q50" s="508"/>
      <c r="R50" s="346"/>
      <c r="S50" s="347"/>
      <c r="T50" s="348"/>
      <c r="U50" s="347"/>
      <c r="V50" s="348"/>
      <c r="W50" s="347"/>
      <c r="X50" s="348"/>
      <c r="Y50" s="347"/>
      <c r="Z50" s="348"/>
      <c r="AA50" s="340" t="e">
        <f t="shared" si="1"/>
        <v>#N/A</v>
      </c>
      <c r="AB50" s="339">
        <f t="shared" si="22"/>
      </c>
      <c r="AC50" s="339">
        <f t="shared" si="23"/>
      </c>
      <c r="AD50" s="255">
        <f t="shared" si="24"/>
      </c>
      <c r="AE50" s="256">
        <f t="shared" si="25"/>
      </c>
      <c r="AF50" s="256">
        <f t="shared" si="26"/>
      </c>
      <c r="AG50" s="255">
        <f t="shared" si="27"/>
      </c>
      <c r="AH50" s="255">
        <f t="shared" si="2"/>
      </c>
      <c r="AI50" s="255">
        <f t="shared" si="28"/>
      </c>
      <c r="AJ50" s="255">
        <f t="shared" si="29"/>
      </c>
      <c r="AK50" s="255">
        <f t="shared" si="3"/>
      </c>
      <c r="AL50" s="255">
        <f t="shared" si="4"/>
      </c>
      <c r="AM50" s="120">
        <f ca="1" t="shared" si="39"/>
        <v>0</v>
      </c>
      <c r="AN50" s="120" t="e">
        <f t="shared" si="6"/>
        <v>#N/A</v>
      </c>
      <c r="AO50" s="120">
        <f>ROWS($AO$4:AO50)-1</f>
        <v>46</v>
      </c>
      <c r="AP50" s="255" t="e">
        <f t="shared" si="40"/>
        <v>#N/A</v>
      </c>
      <c r="AQ50" s="120" t="e">
        <f t="shared" si="8"/>
        <v>#N/A</v>
      </c>
      <c r="AR50" s="120" t="e">
        <f t="shared" si="41"/>
        <v>#N/A</v>
      </c>
      <c r="AS50" s="121">
        <f t="shared" si="42"/>
        <v>1</v>
      </c>
      <c r="AT50" s="120" t="str">
        <f t="shared" si="43"/>
        <v> </v>
      </c>
      <c r="AU50" s="120" t="str">
        <f t="shared" si="44"/>
        <v> </v>
      </c>
      <c r="AV50" s="120" t="e">
        <f t="shared" si="13"/>
        <v>#N/A</v>
      </c>
      <c r="AW50" s="120" t="e">
        <f t="shared" si="14"/>
        <v>#N/A</v>
      </c>
      <c r="AX50" s="120">
        <f t="shared" si="15"/>
      </c>
      <c r="AY50" s="120" t="e">
        <f t="shared" si="16"/>
        <v>#N/A</v>
      </c>
      <c r="AZ50" s="120" t="e">
        <f>VLOOKUP(AY50,'排出係数表'!$A$4:$C$202,2,FALSE)</f>
        <v>#N/A</v>
      </c>
      <c r="BA50" s="120" t="e">
        <f t="shared" si="17"/>
        <v>#N/A</v>
      </c>
      <c r="BB50" s="120" t="e">
        <f>VLOOKUP(AY50,'排出係数表'!$A$4:$C$202,3,FALSE)</f>
        <v>#N/A</v>
      </c>
      <c r="BC50" s="120" t="e">
        <f t="shared" si="18"/>
        <v>#N/A</v>
      </c>
      <c r="BD50" s="120">
        <f t="shared" si="30"/>
        <v>1</v>
      </c>
      <c r="BE50" s="122">
        <f t="shared" si="19"/>
      </c>
      <c r="BF50" s="123" t="e">
        <f t="shared" si="45"/>
        <v>#VALUE!</v>
      </c>
      <c r="BG50" s="122">
        <f t="shared" si="35"/>
      </c>
      <c r="BH50" s="120" t="e">
        <f t="shared" si="36"/>
        <v>#VALUE!</v>
      </c>
      <c r="BI50" s="120" t="e">
        <f t="shared" si="37"/>
        <v>#VALUE!</v>
      </c>
      <c r="BJ50" s="122" t="e">
        <f>VLOOKUP(AY50,'排出係数表'!$A$4:$D$202,4)</f>
        <v>#N/A</v>
      </c>
      <c r="BK50" s="257">
        <f t="shared" si="38"/>
      </c>
    </row>
    <row r="51" spans="1:63" s="124" customFormat="1" ht="13.5" customHeight="1">
      <c r="A51" s="120"/>
      <c r="B51" s="120"/>
      <c r="C51" s="155"/>
      <c r="D51" s="155"/>
      <c r="E51" s="155"/>
      <c r="F51" s="155"/>
      <c r="G51" s="156"/>
      <c r="H51" s="157"/>
      <c r="I51" s="155"/>
      <c r="J51" s="155"/>
      <c r="K51" s="158"/>
      <c r="L51" s="159"/>
      <c r="M51" s="244"/>
      <c r="N51" s="155"/>
      <c r="O51" s="345">
        <f t="shared" si="21"/>
      </c>
      <c r="P51" s="345">
        <f t="shared" si="0"/>
      </c>
      <c r="Q51" s="508"/>
      <c r="R51" s="346"/>
      <c r="S51" s="347"/>
      <c r="T51" s="348"/>
      <c r="U51" s="347"/>
      <c r="V51" s="348"/>
      <c r="W51" s="347"/>
      <c r="X51" s="348"/>
      <c r="Y51" s="347"/>
      <c r="Z51" s="348"/>
      <c r="AA51" s="340" t="e">
        <f t="shared" si="1"/>
        <v>#N/A</v>
      </c>
      <c r="AB51" s="339">
        <f t="shared" si="22"/>
      </c>
      <c r="AC51" s="339">
        <f t="shared" si="23"/>
      </c>
      <c r="AD51" s="255">
        <f t="shared" si="24"/>
      </c>
      <c r="AE51" s="256">
        <f t="shared" si="25"/>
      </c>
      <c r="AF51" s="256">
        <f t="shared" si="26"/>
      </c>
      <c r="AG51" s="255">
        <f t="shared" si="27"/>
      </c>
      <c r="AH51" s="255">
        <f t="shared" si="2"/>
      </c>
      <c r="AI51" s="255">
        <f t="shared" si="28"/>
      </c>
      <c r="AJ51" s="255">
        <f t="shared" si="29"/>
      </c>
      <c r="AK51" s="255">
        <f t="shared" si="3"/>
      </c>
      <c r="AL51" s="255">
        <f t="shared" si="4"/>
      </c>
      <c r="AM51" s="120">
        <f ca="1" t="shared" si="39"/>
        <v>0</v>
      </c>
      <c r="AN51" s="120" t="e">
        <f t="shared" si="6"/>
        <v>#N/A</v>
      </c>
      <c r="AO51" s="120">
        <f>ROWS($AO$4:AO51)-1</f>
        <v>47</v>
      </c>
      <c r="AP51" s="255" t="e">
        <f t="shared" si="40"/>
        <v>#N/A</v>
      </c>
      <c r="AQ51" s="120" t="e">
        <f t="shared" si="8"/>
        <v>#N/A</v>
      </c>
      <c r="AR51" s="120" t="e">
        <f t="shared" si="41"/>
        <v>#N/A</v>
      </c>
      <c r="AS51" s="121">
        <f t="shared" si="42"/>
        <v>1</v>
      </c>
      <c r="AT51" s="120" t="str">
        <f t="shared" si="43"/>
        <v> </v>
      </c>
      <c r="AU51" s="120" t="str">
        <f t="shared" si="44"/>
        <v> </v>
      </c>
      <c r="AV51" s="120" t="e">
        <f t="shared" si="13"/>
        <v>#N/A</v>
      </c>
      <c r="AW51" s="120" t="e">
        <f t="shared" si="14"/>
        <v>#N/A</v>
      </c>
      <c r="AX51" s="120">
        <f t="shared" si="15"/>
      </c>
      <c r="AY51" s="120" t="e">
        <f t="shared" si="16"/>
        <v>#N/A</v>
      </c>
      <c r="AZ51" s="120" t="e">
        <f>VLOOKUP(AY51,'排出係数表'!$A$4:$C$202,2,FALSE)</f>
        <v>#N/A</v>
      </c>
      <c r="BA51" s="120" t="e">
        <f t="shared" si="17"/>
        <v>#N/A</v>
      </c>
      <c r="BB51" s="120" t="e">
        <f>VLOOKUP(AY51,'排出係数表'!$A$4:$C$202,3,FALSE)</f>
        <v>#N/A</v>
      </c>
      <c r="BC51" s="120" t="e">
        <f t="shared" si="18"/>
        <v>#N/A</v>
      </c>
      <c r="BD51" s="120">
        <f t="shared" si="30"/>
        <v>1</v>
      </c>
      <c r="BE51" s="122">
        <f t="shared" si="19"/>
      </c>
      <c r="BF51" s="123" t="e">
        <f t="shared" si="45"/>
        <v>#VALUE!</v>
      </c>
      <c r="BG51" s="122">
        <f t="shared" si="35"/>
      </c>
      <c r="BH51" s="120" t="e">
        <f t="shared" si="36"/>
        <v>#VALUE!</v>
      </c>
      <c r="BI51" s="120" t="e">
        <f t="shared" si="37"/>
        <v>#VALUE!</v>
      </c>
      <c r="BJ51" s="122" t="e">
        <f>VLOOKUP(AY51,'排出係数表'!$A$4:$D$202,4)</f>
        <v>#N/A</v>
      </c>
      <c r="BK51" s="257">
        <f t="shared" si="38"/>
      </c>
    </row>
    <row r="52" spans="1:63" s="124" customFormat="1" ht="13.5" customHeight="1">
      <c r="A52" s="120"/>
      <c r="B52" s="120"/>
      <c r="C52" s="155"/>
      <c r="D52" s="155"/>
      <c r="E52" s="155"/>
      <c r="F52" s="155"/>
      <c r="G52" s="156"/>
      <c r="H52" s="157"/>
      <c r="I52" s="155"/>
      <c r="J52" s="155"/>
      <c r="K52" s="158"/>
      <c r="L52" s="159"/>
      <c r="M52" s="244"/>
      <c r="N52" s="155"/>
      <c r="O52" s="345">
        <f t="shared" si="21"/>
      </c>
      <c r="P52" s="345">
        <f t="shared" si="0"/>
      </c>
      <c r="Q52" s="508"/>
      <c r="R52" s="346"/>
      <c r="S52" s="347"/>
      <c r="T52" s="348"/>
      <c r="U52" s="347"/>
      <c r="V52" s="348"/>
      <c r="W52" s="347"/>
      <c r="X52" s="348"/>
      <c r="Y52" s="347"/>
      <c r="Z52" s="348"/>
      <c r="AA52" s="340" t="e">
        <f t="shared" si="1"/>
        <v>#N/A</v>
      </c>
      <c r="AB52" s="339">
        <f t="shared" si="22"/>
      </c>
      <c r="AC52" s="339">
        <f t="shared" si="23"/>
      </c>
      <c r="AD52" s="255">
        <f t="shared" si="24"/>
      </c>
      <c r="AE52" s="256">
        <f t="shared" si="25"/>
      </c>
      <c r="AF52" s="256">
        <f t="shared" si="26"/>
      </c>
      <c r="AG52" s="255">
        <f t="shared" si="27"/>
      </c>
      <c r="AH52" s="255">
        <f t="shared" si="2"/>
      </c>
      <c r="AI52" s="255">
        <f t="shared" si="28"/>
      </c>
      <c r="AJ52" s="255">
        <f t="shared" si="29"/>
      </c>
      <c r="AK52" s="255">
        <f t="shared" si="3"/>
      </c>
      <c r="AL52" s="255">
        <f t="shared" si="4"/>
      </c>
      <c r="AM52" s="120">
        <f ca="1" t="shared" si="39"/>
        <v>0</v>
      </c>
      <c r="AN52" s="120" t="e">
        <f t="shared" si="6"/>
        <v>#N/A</v>
      </c>
      <c r="AO52" s="120">
        <f>ROWS($AO$4:AO52)-1</f>
        <v>48</v>
      </c>
      <c r="AP52" s="255" t="e">
        <f t="shared" si="40"/>
        <v>#N/A</v>
      </c>
      <c r="AQ52" s="120" t="e">
        <f t="shared" si="8"/>
        <v>#N/A</v>
      </c>
      <c r="AR52" s="120" t="e">
        <f t="shared" si="41"/>
        <v>#N/A</v>
      </c>
      <c r="AS52" s="121">
        <f t="shared" si="42"/>
        <v>1</v>
      </c>
      <c r="AT52" s="120" t="str">
        <f t="shared" si="43"/>
        <v> </v>
      </c>
      <c r="AU52" s="120" t="str">
        <f t="shared" si="44"/>
        <v> </v>
      </c>
      <c r="AV52" s="120" t="e">
        <f t="shared" si="13"/>
        <v>#N/A</v>
      </c>
      <c r="AW52" s="120" t="e">
        <f t="shared" si="14"/>
        <v>#N/A</v>
      </c>
      <c r="AX52" s="120">
        <f t="shared" si="15"/>
      </c>
      <c r="AY52" s="120" t="e">
        <f t="shared" si="16"/>
        <v>#N/A</v>
      </c>
      <c r="AZ52" s="120" t="e">
        <f>VLOOKUP(AY52,'排出係数表'!$A$4:$C$202,2,FALSE)</f>
        <v>#N/A</v>
      </c>
      <c r="BA52" s="120" t="e">
        <f t="shared" si="17"/>
        <v>#N/A</v>
      </c>
      <c r="BB52" s="120" t="e">
        <f>VLOOKUP(AY52,'排出係数表'!$A$4:$C$202,3,FALSE)</f>
        <v>#N/A</v>
      </c>
      <c r="BC52" s="120" t="e">
        <f t="shared" si="18"/>
        <v>#N/A</v>
      </c>
      <c r="BD52" s="120">
        <f t="shared" si="30"/>
        <v>1</v>
      </c>
      <c r="BE52" s="122">
        <f t="shared" si="19"/>
      </c>
      <c r="BF52" s="123" t="e">
        <f t="shared" si="45"/>
        <v>#VALUE!</v>
      </c>
      <c r="BG52" s="122">
        <f t="shared" si="35"/>
      </c>
      <c r="BH52" s="120" t="e">
        <f t="shared" si="36"/>
        <v>#VALUE!</v>
      </c>
      <c r="BI52" s="120" t="e">
        <f t="shared" si="37"/>
        <v>#VALUE!</v>
      </c>
      <c r="BJ52" s="122" t="e">
        <f>VLOOKUP(AY52,'排出係数表'!$A$4:$D$202,4)</f>
        <v>#N/A</v>
      </c>
      <c r="BK52" s="257">
        <f t="shared" si="38"/>
      </c>
    </row>
    <row r="53" spans="1:63" s="124" customFormat="1" ht="13.5" customHeight="1">
      <c r="A53" s="120"/>
      <c r="B53" s="120"/>
      <c r="C53" s="155"/>
      <c r="D53" s="155"/>
      <c r="E53" s="155"/>
      <c r="F53" s="155"/>
      <c r="G53" s="156"/>
      <c r="H53" s="157"/>
      <c r="I53" s="155"/>
      <c r="J53" s="155"/>
      <c r="K53" s="158"/>
      <c r="L53" s="159"/>
      <c r="M53" s="244"/>
      <c r="N53" s="155"/>
      <c r="O53" s="345">
        <f t="shared" si="21"/>
      </c>
      <c r="P53" s="345">
        <f t="shared" si="0"/>
      </c>
      <c r="Q53" s="508"/>
      <c r="R53" s="346"/>
      <c r="S53" s="347"/>
      <c r="T53" s="348"/>
      <c r="U53" s="347"/>
      <c r="V53" s="348"/>
      <c r="W53" s="347"/>
      <c r="X53" s="348"/>
      <c r="Y53" s="347"/>
      <c r="Z53" s="348"/>
      <c r="AA53" s="340" t="e">
        <f t="shared" si="1"/>
        <v>#N/A</v>
      </c>
      <c r="AB53" s="339">
        <f t="shared" si="22"/>
      </c>
      <c r="AC53" s="339">
        <f t="shared" si="23"/>
      </c>
      <c r="AD53" s="255">
        <f t="shared" si="24"/>
      </c>
      <c r="AE53" s="256">
        <f t="shared" si="25"/>
      </c>
      <c r="AF53" s="256">
        <f t="shared" si="26"/>
      </c>
      <c r="AG53" s="255">
        <f t="shared" si="27"/>
      </c>
      <c r="AH53" s="255">
        <f t="shared" si="2"/>
      </c>
      <c r="AI53" s="255">
        <f t="shared" si="28"/>
      </c>
      <c r="AJ53" s="255">
        <f t="shared" si="29"/>
      </c>
      <c r="AK53" s="255">
        <f t="shared" si="3"/>
      </c>
      <c r="AL53" s="255">
        <f t="shared" si="4"/>
      </c>
      <c r="AM53" s="120">
        <f ca="1" t="shared" si="39"/>
        <v>0</v>
      </c>
      <c r="AN53" s="120" t="e">
        <f t="shared" si="6"/>
        <v>#N/A</v>
      </c>
      <c r="AO53" s="120">
        <f>ROWS($AO$4:AO53)-1</f>
        <v>49</v>
      </c>
      <c r="AP53" s="255" t="e">
        <f t="shared" si="40"/>
        <v>#N/A</v>
      </c>
      <c r="AQ53" s="120" t="e">
        <f t="shared" si="8"/>
        <v>#N/A</v>
      </c>
      <c r="AR53" s="120" t="e">
        <f t="shared" si="41"/>
        <v>#N/A</v>
      </c>
      <c r="AS53" s="121">
        <f t="shared" si="42"/>
        <v>1</v>
      </c>
      <c r="AT53" s="120" t="str">
        <f t="shared" si="43"/>
        <v> </v>
      </c>
      <c r="AU53" s="120" t="str">
        <f t="shared" si="44"/>
        <v> </v>
      </c>
      <c r="AV53" s="120" t="e">
        <f t="shared" si="13"/>
        <v>#N/A</v>
      </c>
      <c r="AW53" s="120" t="e">
        <f t="shared" si="14"/>
        <v>#N/A</v>
      </c>
      <c r="AX53" s="120">
        <f t="shared" si="15"/>
      </c>
      <c r="AY53" s="120" t="e">
        <f t="shared" si="16"/>
        <v>#N/A</v>
      </c>
      <c r="AZ53" s="120" t="e">
        <f>VLOOKUP(AY53,'排出係数表'!$A$4:$C$202,2,FALSE)</f>
        <v>#N/A</v>
      </c>
      <c r="BA53" s="120" t="e">
        <f t="shared" si="17"/>
        <v>#N/A</v>
      </c>
      <c r="BB53" s="120" t="e">
        <f>VLOOKUP(AY53,'排出係数表'!$A$4:$C$202,3,FALSE)</f>
        <v>#N/A</v>
      </c>
      <c r="BC53" s="120" t="e">
        <f t="shared" si="18"/>
        <v>#N/A</v>
      </c>
      <c r="BD53" s="120">
        <f t="shared" si="30"/>
        <v>1</v>
      </c>
      <c r="BE53" s="122">
        <f t="shared" si="19"/>
      </c>
      <c r="BF53" s="123" t="e">
        <f t="shared" si="45"/>
        <v>#VALUE!</v>
      </c>
      <c r="BG53" s="122">
        <f t="shared" si="35"/>
      </c>
      <c r="BH53" s="120" t="e">
        <f t="shared" si="36"/>
        <v>#VALUE!</v>
      </c>
      <c r="BI53" s="120" t="e">
        <f t="shared" si="37"/>
        <v>#VALUE!</v>
      </c>
      <c r="BJ53" s="122" t="e">
        <f>VLOOKUP(AY53,'排出係数表'!$A$4:$D$202,4)</f>
        <v>#N/A</v>
      </c>
      <c r="BK53" s="257">
        <f t="shared" si="38"/>
      </c>
    </row>
    <row r="54" spans="1:63" s="124" customFormat="1" ht="13.5" customHeight="1">
      <c r="A54" s="120"/>
      <c r="B54" s="120"/>
      <c r="C54" s="155"/>
      <c r="D54" s="155"/>
      <c r="E54" s="155"/>
      <c r="F54" s="155"/>
      <c r="G54" s="156"/>
      <c r="H54" s="157"/>
      <c r="I54" s="155"/>
      <c r="J54" s="155"/>
      <c r="K54" s="158"/>
      <c r="L54" s="159"/>
      <c r="M54" s="244"/>
      <c r="N54" s="155"/>
      <c r="O54" s="345">
        <f t="shared" si="21"/>
      </c>
      <c r="P54" s="345">
        <f t="shared" si="0"/>
      </c>
      <c r="Q54" s="508"/>
      <c r="R54" s="346"/>
      <c r="S54" s="347"/>
      <c r="T54" s="348"/>
      <c r="U54" s="347"/>
      <c r="V54" s="348"/>
      <c r="W54" s="347"/>
      <c r="X54" s="348"/>
      <c r="Y54" s="347"/>
      <c r="Z54" s="348"/>
      <c r="AA54" s="340" t="e">
        <f t="shared" si="1"/>
        <v>#N/A</v>
      </c>
      <c r="AB54" s="339">
        <f t="shared" si="22"/>
      </c>
      <c r="AC54" s="339">
        <f t="shared" si="23"/>
      </c>
      <c r="AD54" s="255">
        <f t="shared" si="24"/>
      </c>
      <c r="AE54" s="256">
        <f t="shared" si="25"/>
      </c>
      <c r="AF54" s="256">
        <f t="shared" si="26"/>
      </c>
      <c r="AG54" s="255">
        <f t="shared" si="27"/>
      </c>
      <c r="AH54" s="255">
        <f t="shared" si="2"/>
      </c>
      <c r="AI54" s="255">
        <f t="shared" si="28"/>
      </c>
      <c r="AJ54" s="255">
        <f t="shared" si="29"/>
      </c>
      <c r="AK54" s="255">
        <f t="shared" si="3"/>
      </c>
      <c r="AL54" s="255">
        <f t="shared" si="4"/>
      </c>
      <c r="AM54" s="120">
        <f ca="1" t="shared" si="39"/>
        <v>0</v>
      </c>
      <c r="AN54" s="120" t="e">
        <f t="shared" si="6"/>
        <v>#N/A</v>
      </c>
      <c r="AO54" s="120">
        <f>ROWS($AO$4:AO54)-1</f>
        <v>50</v>
      </c>
      <c r="AP54" s="255" t="e">
        <f t="shared" si="40"/>
        <v>#N/A</v>
      </c>
      <c r="AQ54" s="120" t="e">
        <f t="shared" si="8"/>
        <v>#N/A</v>
      </c>
      <c r="AR54" s="120" t="e">
        <f t="shared" si="41"/>
        <v>#N/A</v>
      </c>
      <c r="AS54" s="121">
        <f t="shared" si="42"/>
        <v>1</v>
      </c>
      <c r="AT54" s="120" t="str">
        <f t="shared" si="43"/>
        <v> </v>
      </c>
      <c r="AU54" s="120" t="str">
        <f t="shared" si="44"/>
        <v> </v>
      </c>
      <c r="AV54" s="120" t="e">
        <f t="shared" si="13"/>
        <v>#N/A</v>
      </c>
      <c r="AW54" s="120" t="e">
        <f t="shared" si="14"/>
        <v>#N/A</v>
      </c>
      <c r="AX54" s="120">
        <f t="shared" si="15"/>
      </c>
      <c r="AY54" s="120" t="e">
        <f t="shared" si="16"/>
        <v>#N/A</v>
      </c>
      <c r="AZ54" s="120" t="e">
        <f>VLOOKUP(AY54,'排出係数表'!$A$4:$C$202,2,FALSE)</f>
        <v>#N/A</v>
      </c>
      <c r="BA54" s="120" t="e">
        <f t="shared" si="17"/>
        <v>#N/A</v>
      </c>
      <c r="BB54" s="120" t="e">
        <f>VLOOKUP(AY54,'排出係数表'!$A$4:$C$202,3,FALSE)</f>
        <v>#N/A</v>
      </c>
      <c r="BC54" s="120" t="e">
        <f t="shared" si="18"/>
        <v>#N/A</v>
      </c>
      <c r="BD54" s="120">
        <f t="shared" si="30"/>
        <v>1</v>
      </c>
      <c r="BE54" s="122">
        <f t="shared" si="19"/>
      </c>
      <c r="BF54" s="123" t="e">
        <f t="shared" si="45"/>
        <v>#VALUE!</v>
      </c>
      <c r="BG54" s="122">
        <f t="shared" si="35"/>
      </c>
      <c r="BH54" s="120" t="e">
        <f t="shared" si="36"/>
        <v>#VALUE!</v>
      </c>
      <c r="BI54" s="120" t="e">
        <f t="shared" si="37"/>
        <v>#VALUE!</v>
      </c>
      <c r="BJ54" s="122" t="e">
        <f>VLOOKUP(AY54,'排出係数表'!$A$4:$D$202,4)</f>
        <v>#N/A</v>
      </c>
      <c r="BK54" s="257">
        <f t="shared" si="38"/>
      </c>
    </row>
    <row r="55" spans="1:63" s="124" customFormat="1" ht="13.5" customHeight="1">
      <c r="A55" s="120"/>
      <c r="B55" s="120"/>
      <c r="C55" s="155"/>
      <c r="D55" s="155"/>
      <c r="E55" s="155"/>
      <c r="F55" s="155"/>
      <c r="G55" s="156"/>
      <c r="H55" s="157"/>
      <c r="I55" s="155"/>
      <c r="J55" s="155"/>
      <c r="K55" s="158"/>
      <c r="L55" s="159"/>
      <c r="M55" s="244"/>
      <c r="N55" s="155"/>
      <c r="O55" s="345">
        <f t="shared" si="21"/>
      </c>
      <c r="P55" s="345">
        <f t="shared" si="0"/>
      </c>
      <c r="Q55" s="508"/>
      <c r="R55" s="346"/>
      <c r="S55" s="347"/>
      <c r="T55" s="348"/>
      <c r="U55" s="347"/>
      <c r="V55" s="348"/>
      <c r="W55" s="347"/>
      <c r="X55" s="348"/>
      <c r="Y55" s="347"/>
      <c r="Z55" s="348"/>
      <c r="AA55" s="340" t="e">
        <f t="shared" si="1"/>
        <v>#N/A</v>
      </c>
      <c r="AB55" s="339">
        <f t="shared" si="22"/>
      </c>
      <c r="AC55" s="339">
        <f t="shared" si="23"/>
      </c>
      <c r="AD55" s="255">
        <f t="shared" si="24"/>
      </c>
      <c r="AE55" s="256">
        <f t="shared" si="25"/>
      </c>
      <c r="AF55" s="256">
        <f t="shared" si="26"/>
      </c>
      <c r="AG55" s="255">
        <f t="shared" si="27"/>
      </c>
      <c r="AH55" s="255">
        <f t="shared" si="2"/>
      </c>
      <c r="AI55" s="255">
        <f t="shared" si="28"/>
      </c>
      <c r="AJ55" s="255">
        <f t="shared" si="29"/>
      </c>
      <c r="AK55" s="255">
        <f t="shared" si="3"/>
      </c>
      <c r="AL55" s="255">
        <f t="shared" si="4"/>
      </c>
      <c r="AM55" s="120">
        <f aca="true" ca="1" t="shared" si="46" ref="AM55:AM150">COUNTIF(OFFSET($AK$5,,,AO55,1),1)</f>
        <v>0</v>
      </c>
      <c r="AN55" s="120" t="e">
        <f t="shared" si="6"/>
        <v>#N/A</v>
      </c>
      <c r="AO55" s="120">
        <f>ROWS($AO$4:AO55)-1</f>
        <v>51</v>
      </c>
      <c r="AP55" s="255" t="e">
        <f aca="true" t="shared" si="47" ref="AP55:AP67">AN55-AO55</f>
        <v>#N/A</v>
      </c>
      <c r="AQ55" s="120" t="e">
        <f t="shared" si="8"/>
        <v>#N/A</v>
      </c>
      <c r="AR55" s="120" t="e">
        <f t="shared" si="41"/>
        <v>#N/A</v>
      </c>
      <c r="AS55" s="121">
        <f aca="true" t="shared" si="48" ref="AS55:AS150">IF(I55&gt;3500,I55/1000,1)</f>
        <v>1</v>
      </c>
      <c r="AT55" s="120" t="str">
        <f aca="true" t="shared" si="49" ref="AT55:AT150">IF(ISBLANK(F55)=TRUE," ",IF(LEFT(F55,1)="4",0,IF(I55&lt;=1700,1,IF(I55&lt;=2500,2,IF(I55&lt;=3500,3,4)))))</f>
        <v> </v>
      </c>
      <c r="AU55" s="120" t="str">
        <f aca="true" t="shared" si="50" ref="AU55:AU150">IF(ISBLANK(J55)=TRUE," ",IF(LEFT(F55,1)="1",IF(I55&lt;=3500,1,IF(I55&lt;=5000,2,3)),IF(LEFT(F55,1)="6",IF(I55&lt;=3500,1,IF(I55&lt;=5000,2,3)),"")))</f>
        <v> </v>
      </c>
      <c r="AV55" s="120" t="e">
        <f t="shared" si="13"/>
        <v>#N/A</v>
      </c>
      <c r="AW55" s="120" t="e">
        <f t="shared" si="14"/>
        <v>#N/A</v>
      </c>
      <c r="AX55" s="120">
        <f t="shared" si="15"/>
      </c>
      <c r="AY55" s="120" t="e">
        <f t="shared" si="16"/>
        <v>#N/A</v>
      </c>
      <c r="AZ55" s="120" t="e">
        <f>VLOOKUP(AY55,'排出係数表'!$A$4:$C$202,2,FALSE)</f>
        <v>#N/A</v>
      </c>
      <c r="BA55" s="120" t="e">
        <f t="shared" si="17"/>
        <v>#N/A</v>
      </c>
      <c r="BB55" s="120" t="e">
        <f>VLOOKUP(AY55,'排出係数表'!$A$4:$C$202,3,FALSE)</f>
        <v>#N/A</v>
      </c>
      <c r="BC55" s="120" t="e">
        <f t="shared" si="18"/>
        <v>#N/A</v>
      </c>
      <c r="BD55" s="120">
        <f t="shared" si="30"/>
        <v>1</v>
      </c>
      <c r="BE55" s="122">
        <f t="shared" si="19"/>
      </c>
      <c r="BF55" s="123" t="e">
        <f aca="true" t="shared" si="51" ref="BF55:BF150">VALUE(LEFT(J55,2))</f>
        <v>#VALUE!</v>
      </c>
      <c r="BG55" s="122">
        <f t="shared" si="35"/>
      </c>
      <c r="BH55" s="120" t="e">
        <f t="shared" si="36"/>
        <v>#VALUE!</v>
      </c>
      <c r="BI55" s="120" t="e">
        <f t="shared" si="37"/>
        <v>#VALUE!</v>
      </c>
      <c r="BJ55" s="122" t="e">
        <f>VLOOKUP(AY55,'排出係数表'!$A$4:$D$202,4)</f>
        <v>#N/A</v>
      </c>
      <c r="BK55" s="257">
        <f t="shared" si="38"/>
      </c>
    </row>
    <row r="56" spans="1:63" s="124" customFormat="1" ht="13.5" customHeight="1">
      <c r="A56" s="120"/>
      <c r="B56" s="120"/>
      <c r="C56" s="155"/>
      <c r="D56" s="155"/>
      <c r="E56" s="155"/>
      <c r="F56" s="155"/>
      <c r="G56" s="156"/>
      <c r="H56" s="157"/>
      <c r="I56" s="155"/>
      <c r="J56" s="155"/>
      <c r="K56" s="158"/>
      <c r="L56" s="159"/>
      <c r="M56" s="244"/>
      <c r="N56" s="155"/>
      <c r="O56" s="345">
        <f t="shared" si="21"/>
      </c>
      <c r="P56" s="345">
        <f t="shared" si="0"/>
      </c>
      <c r="Q56" s="508"/>
      <c r="R56" s="346"/>
      <c r="S56" s="347"/>
      <c r="T56" s="348"/>
      <c r="U56" s="347"/>
      <c r="V56" s="348"/>
      <c r="W56" s="347"/>
      <c r="X56" s="348"/>
      <c r="Y56" s="347"/>
      <c r="Z56" s="348"/>
      <c r="AA56" s="340" t="e">
        <f t="shared" si="1"/>
        <v>#N/A</v>
      </c>
      <c r="AB56" s="339">
        <f t="shared" si="22"/>
      </c>
      <c r="AC56" s="339">
        <f t="shared" si="23"/>
      </c>
      <c r="AD56" s="255">
        <f t="shared" si="24"/>
      </c>
      <c r="AE56" s="256">
        <f t="shared" si="25"/>
      </c>
      <c r="AF56" s="256">
        <f t="shared" si="26"/>
      </c>
      <c r="AG56" s="255">
        <f t="shared" si="27"/>
      </c>
      <c r="AH56" s="255">
        <f t="shared" si="2"/>
      </c>
      <c r="AI56" s="255">
        <f t="shared" si="28"/>
      </c>
      <c r="AJ56" s="255">
        <f t="shared" si="29"/>
      </c>
      <c r="AK56" s="255">
        <f t="shared" si="3"/>
      </c>
      <c r="AL56" s="255">
        <f t="shared" si="4"/>
      </c>
      <c r="AM56" s="120">
        <f ca="1" t="shared" si="46"/>
        <v>0</v>
      </c>
      <c r="AN56" s="120" t="e">
        <f t="shared" si="6"/>
        <v>#N/A</v>
      </c>
      <c r="AO56" s="120">
        <f>ROWS($AO$4:AO56)-1</f>
        <v>52</v>
      </c>
      <c r="AP56" s="255" t="e">
        <f t="shared" si="47"/>
        <v>#N/A</v>
      </c>
      <c r="AQ56" s="120" t="e">
        <f t="shared" si="8"/>
        <v>#N/A</v>
      </c>
      <c r="AR56" s="120" t="e">
        <f t="shared" si="41"/>
        <v>#N/A</v>
      </c>
      <c r="AS56" s="121">
        <f t="shared" si="48"/>
        <v>1</v>
      </c>
      <c r="AT56" s="120" t="str">
        <f t="shared" si="49"/>
        <v> </v>
      </c>
      <c r="AU56" s="120" t="str">
        <f t="shared" si="50"/>
        <v> </v>
      </c>
      <c r="AV56" s="120" t="e">
        <f t="shared" si="13"/>
        <v>#N/A</v>
      </c>
      <c r="AW56" s="120" t="e">
        <f t="shared" si="14"/>
        <v>#N/A</v>
      </c>
      <c r="AX56" s="120">
        <f t="shared" si="15"/>
      </c>
      <c r="AY56" s="120" t="e">
        <f t="shared" si="16"/>
        <v>#N/A</v>
      </c>
      <c r="AZ56" s="120" t="e">
        <f>VLOOKUP(AY56,'排出係数表'!$A$4:$C$202,2,FALSE)</f>
        <v>#N/A</v>
      </c>
      <c r="BA56" s="120" t="e">
        <f t="shared" si="17"/>
        <v>#N/A</v>
      </c>
      <c r="BB56" s="120" t="e">
        <f>VLOOKUP(AY56,'排出係数表'!$A$4:$C$202,3,FALSE)</f>
        <v>#N/A</v>
      </c>
      <c r="BC56" s="120" t="e">
        <f t="shared" si="18"/>
        <v>#N/A</v>
      </c>
      <c r="BD56" s="120">
        <f t="shared" si="30"/>
        <v>1</v>
      </c>
      <c r="BE56" s="122">
        <f t="shared" si="19"/>
      </c>
      <c r="BF56" s="123" t="e">
        <f t="shared" si="51"/>
        <v>#VALUE!</v>
      </c>
      <c r="BG56" s="122">
        <f t="shared" si="35"/>
      </c>
      <c r="BH56" s="120" t="e">
        <f t="shared" si="36"/>
        <v>#VALUE!</v>
      </c>
      <c r="BI56" s="120" t="e">
        <f t="shared" si="37"/>
        <v>#VALUE!</v>
      </c>
      <c r="BJ56" s="122" t="e">
        <f>VLOOKUP(AY56,'排出係数表'!$A$4:$D$202,4)</f>
        <v>#N/A</v>
      </c>
      <c r="BK56" s="257">
        <f t="shared" si="38"/>
      </c>
    </row>
    <row r="57" spans="1:63" s="124" customFormat="1" ht="13.5" customHeight="1">
      <c r="A57" s="120"/>
      <c r="B57" s="120"/>
      <c r="C57" s="155"/>
      <c r="D57" s="155"/>
      <c r="E57" s="155"/>
      <c r="F57" s="155"/>
      <c r="G57" s="156"/>
      <c r="H57" s="157"/>
      <c r="I57" s="155"/>
      <c r="J57" s="155"/>
      <c r="K57" s="158"/>
      <c r="L57" s="159"/>
      <c r="M57" s="244"/>
      <c r="N57" s="155"/>
      <c r="O57" s="345">
        <f t="shared" si="21"/>
      </c>
      <c r="P57" s="345">
        <f t="shared" si="0"/>
      </c>
      <c r="Q57" s="508"/>
      <c r="R57" s="346"/>
      <c r="S57" s="347"/>
      <c r="T57" s="348"/>
      <c r="U57" s="347"/>
      <c r="V57" s="348"/>
      <c r="W57" s="347"/>
      <c r="X57" s="348"/>
      <c r="Y57" s="347"/>
      <c r="Z57" s="348"/>
      <c r="AA57" s="340" t="e">
        <f t="shared" si="1"/>
        <v>#N/A</v>
      </c>
      <c r="AB57" s="339">
        <f t="shared" si="22"/>
      </c>
      <c r="AC57" s="339">
        <f t="shared" si="23"/>
      </c>
      <c r="AD57" s="255">
        <f t="shared" si="24"/>
      </c>
      <c r="AE57" s="256">
        <f t="shared" si="25"/>
      </c>
      <c r="AF57" s="256">
        <f t="shared" si="26"/>
      </c>
      <c r="AG57" s="255">
        <f t="shared" si="27"/>
      </c>
      <c r="AH57" s="255">
        <f t="shared" si="2"/>
      </c>
      <c r="AI57" s="255">
        <f t="shared" si="28"/>
      </c>
      <c r="AJ57" s="255">
        <f t="shared" si="29"/>
      </c>
      <c r="AK57" s="255">
        <f t="shared" si="3"/>
      </c>
      <c r="AL57" s="255">
        <f t="shared" si="4"/>
      </c>
      <c r="AM57" s="120">
        <f ca="1" t="shared" si="46"/>
        <v>0</v>
      </c>
      <c r="AN57" s="120" t="e">
        <f t="shared" si="6"/>
        <v>#N/A</v>
      </c>
      <c r="AO57" s="120">
        <f>ROWS($AO$4:AO57)-1</f>
        <v>53</v>
      </c>
      <c r="AP57" s="255" t="e">
        <f t="shared" si="47"/>
        <v>#N/A</v>
      </c>
      <c r="AQ57" s="120" t="e">
        <f t="shared" si="8"/>
        <v>#N/A</v>
      </c>
      <c r="AR57" s="120" t="e">
        <f t="shared" si="41"/>
        <v>#N/A</v>
      </c>
      <c r="AS57" s="121">
        <f t="shared" si="48"/>
        <v>1</v>
      </c>
      <c r="AT57" s="120" t="str">
        <f t="shared" si="49"/>
        <v> </v>
      </c>
      <c r="AU57" s="120" t="str">
        <f t="shared" si="50"/>
        <v> </v>
      </c>
      <c r="AV57" s="120" t="e">
        <f t="shared" si="13"/>
        <v>#N/A</v>
      </c>
      <c r="AW57" s="120" t="e">
        <f t="shared" si="14"/>
        <v>#N/A</v>
      </c>
      <c r="AX57" s="120">
        <f t="shared" si="15"/>
      </c>
      <c r="AY57" s="120" t="e">
        <f t="shared" si="16"/>
        <v>#N/A</v>
      </c>
      <c r="AZ57" s="120" t="e">
        <f>VLOOKUP(AY57,'排出係数表'!$A$4:$C$202,2,FALSE)</f>
        <v>#N/A</v>
      </c>
      <c r="BA57" s="120" t="e">
        <f t="shared" si="17"/>
        <v>#N/A</v>
      </c>
      <c r="BB57" s="120" t="e">
        <f>VLOOKUP(AY57,'排出係数表'!$A$4:$C$202,3,FALSE)</f>
        <v>#N/A</v>
      </c>
      <c r="BC57" s="120" t="e">
        <f t="shared" si="18"/>
        <v>#N/A</v>
      </c>
      <c r="BD57" s="120">
        <f t="shared" si="30"/>
        <v>1</v>
      </c>
      <c r="BE57" s="122">
        <f t="shared" si="19"/>
      </c>
      <c r="BF57" s="123" t="e">
        <f t="shared" si="51"/>
        <v>#VALUE!</v>
      </c>
      <c r="BG57" s="122">
        <f t="shared" si="35"/>
      </c>
      <c r="BH57" s="120" t="e">
        <f t="shared" si="36"/>
        <v>#VALUE!</v>
      </c>
      <c r="BI57" s="120" t="e">
        <f t="shared" si="37"/>
        <v>#VALUE!</v>
      </c>
      <c r="BJ57" s="122" t="e">
        <f>VLOOKUP(AY57,'排出係数表'!$A$4:$D$202,4)</f>
        <v>#N/A</v>
      </c>
      <c r="BK57" s="257">
        <f t="shared" si="38"/>
      </c>
    </row>
    <row r="58" spans="1:63" s="124" customFormat="1" ht="13.5" customHeight="1">
      <c r="A58" s="120"/>
      <c r="B58" s="120"/>
      <c r="C58" s="155"/>
      <c r="D58" s="155"/>
      <c r="E58" s="155"/>
      <c r="F58" s="155"/>
      <c r="G58" s="156"/>
      <c r="H58" s="157"/>
      <c r="I58" s="155"/>
      <c r="J58" s="155"/>
      <c r="K58" s="158"/>
      <c r="L58" s="159"/>
      <c r="M58" s="244"/>
      <c r="N58" s="155"/>
      <c r="O58" s="345">
        <f t="shared" si="21"/>
      </c>
      <c r="P58" s="345">
        <f t="shared" si="0"/>
      </c>
      <c r="Q58" s="508"/>
      <c r="R58" s="346"/>
      <c r="S58" s="347"/>
      <c r="T58" s="348"/>
      <c r="U58" s="347"/>
      <c r="V58" s="348"/>
      <c r="W58" s="347"/>
      <c r="X58" s="348"/>
      <c r="Y58" s="347"/>
      <c r="Z58" s="348"/>
      <c r="AA58" s="340" t="e">
        <f t="shared" si="1"/>
        <v>#N/A</v>
      </c>
      <c r="AB58" s="339">
        <f t="shared" si="22"/>
      </c>
      <c r="AC58" s="339">
        <f t="shared" si="23"/>
      </c>
      <c r="AD58" s="255">
        <f t="shared" si="24"/>
      </c>
      <c r="AE58" s="256">
        <f t="shared" si="25"/>
      </c>
      <c r="AF58" s="256">
        <f t="shared" si="26"/>
      </c>
      <c r="AG58" s="255">
        <f t="shared" si="27"/>
      </c>
      <c r="AH58" s="255">
        <f t="shared" si="2"/>
      </c>
      <c r="AI58" s="255">
        <f t="shared" si="28"/>
      </c>
      <c r="AJ58" s="255">
        <f t="shared" si="29"/>
      </c>
      <c r="AK58" s="255">
        <f t="shared" si="3"/>
      </c>
      <c r="AL58" s="255">
        <f t="shared" si="4"/>
      </c>
      <c r="AM58" s="120">
        <f ca="1" t="shared" si="46"/>
        <v>0</v>
      </c>
      <c r="AN58" s="120" t="e">
        <f t="shared" si="6"/>
        <v>#N/A</v>
      </c>
      <c r="AO58" s="120">
        <f>ROWS($AO$4:AO58)-1</f>
        <v>54</v>
      </c>
      <c r="AP58" s="255" t="e">
        <f t="shared" si="47"/>
        <v>#N/A</v>
      </c>
      <c r="AQ58" s="120" t="e">
        <f t="shared" si="8"/>
        <v>#N/A</v>
      </c>
      <c r="AR58" s="120" t="e">
        <f t="shared" si="41"/>
        <v>#N/A</v>
      </c>
      <c r="AS58" s="121">
        <f t="shared" si="48"/>
        <v>1</v>
      </c>
      <c r="AT58" s="120" t="str">
        <f t="shared" si="49"/>
        <v> </v>
      </c>
      <c r="AU58" s="120" t="str">
        <f t="shared" si="50"/>
        <v> </v>
      </c>
      <c r="AV58" s="120" t="e">
        <f t="shared" si="13"/>
        <v>#N/A</v>
      </c>
      <c r="AW58" s="120" t="e">
        <f t="shared" si="14"/>
        <v>#N/A</v>
      </c>
      <c r="AX58" s="120">
        <f t="shared" si="15"/>
      </c>
      <c r="AY58" s="120" t="e">
        <f t="shared" si="16"/>
        <v>#N/A</v>
      </c>
      <c r="AZ58" s="120" t="e">
        <f>VLOOKUP(AY58,'排出係数表'!$A$4:$C$202,2,FALSE)</f>
        <v>#N/A</v>
      </c>
      <c r="BA58" s="120" t="e">
        <f t="shared" si="17"/>
        <v>#N/A</v>
      </c>
      <c r="BB58" s="120" t="e">
        <f>VLOOKUP(AY58,'排出係数表'!$A$4:$C$202,3,FALSE)</f>
        <v>#N/A</v>
      </c>
      <c r="BC58" s="120" t="e">
        <f t="shared" si="18"/>
        <v>#N/A</v>
      </c>
      <c r="BD58" s="120">
        <f t="shared" si="30"/>
        <v>1</v>
      </c>
      <c r="BE58" s="122">
        <f t="shared" si="19"/>
      </c>
      <c r="BF58" s="123" t="e">
        <f t="shared" si="51"/>
        <v>#VALUE!</v>
      </c>
      <c r="BG58" s="122">
        <f t="shared" si="35"/>
      </c>
      <c r="BH58" s="120" t="e">
        <f t="shared" si="36"/>
        <v>#VALUE!</v>
      </c>
      <c r="BI58" s="120" t="e">
        <f t="shared" si="37"/>
        <v>#VALUE!</v>
      </c>
      <c r="BJ58" s="122" t="e">
        <f>VLOOKUP(AY58,'排出係数表'!$A$4:$D$202,4)</f>
        <v>#N/A</v>
      </c>
      <c r="BK58" s="257">
        <f t="shared" si="38"/>
      </c>
    </row>
    <row r="59" spans="1:63" s="124" customFormat="1" ht="13.5" customHeight="1">
      <c r="A59" s="120"/>
      <c r="B59" s="120"/>
      <c r="C59" s="155"/>
      <c r="D59" s="155"/>
      <c r="E59" s="155"/>
      <c r="F59" s="155"/>
      <c r="G59" s="156"/>
      <c r="H59" s="157"/>
      <c r="I59" s="155"/>
      <c r="J59" s="155"/>
      <c r="K59" s="158"/>
      <c r="L59" s="159"/>
      <c r="M59" s="244"/>
      <c r="N59" s="155"/>
      <c r="O59" s="345">
        <f t="shared" si="21"/>
      </c>
      <c r="P59" s="345">
        <f t="shared" si="0"/>
      </c>
      <c r="Q59" s="508"/>
      <c r="R59" s="346"/>
      <c r="S59" s="347"/>
      <c r="T59" s="348"/>
      <c r="U59" s="347"/>
      <c r="V59" s="348"/>
      <c r="W59" s="347"/>
      <c r="X59" s="348"/>
      <c r="Y59" s="347"/>
      <c r="Z59" s="348"/>
      <c r="AA59" s="340" t="e">
        <f t="shared" si="1"/>
        <v>#N/A</v>
      </c>
      <c r="AB59" s="339">
        <f t="shared" si="22"/>
      </c>
      <c r="AC59" s="339">
        <f t="shared" si="23"/>
      </c>
      <c r="AD59" s="255">
        <f t="shared" si="24"/>
      </c>
      <c r="AE59" s="256">
        <f t="shared" si="25"/>
      </c>
      <c r="AF59" s="256">
        <f t="shared" si="26"/>
      </c>
      <c r="AG59" s="255">
        <f t="shared" si="27"/>
      </c>
      <c r="AH59" s="255">
        <f t="shared" si="2"/>
      </c>
      <c r="AI59" s="255">
        <f t="shared" si="28"/>
      </c>
      <c r="AJ59" s="255">
        <f t="shared" si="29"/>
      </c>
      <c r="AK59" s="255">
        <f t="shared" si="3"/>
      </c>
      <c r="AL59" s="255">
        <f t="shared" si="4"/>
      </c>
      <c r="AM59" s="120">
        <f ca="1" t="shared" si="46"/>
        <v>0</v>
      </c>
      <c r="AN59" s="120" t="e">
        <f t="shared" si="6"/>
        <v>#N/A</v>
      </c>
      <c r="AO59" s="120">
        <f>ROWS($AO$4:AO59)-1</f>
        <v>55</v>
      </c>
      <c r="AP59" s="255" t="e">
        <f t="shared" si="47"/>
        <v>#N/A</v>
      </c>
      <c r="AQ59" s="120" t="e">
        <f t="shared" si="8"/>
        <v>#N/A</v>
      </c>
      <c r="AR59" s="120" t="e">
        <f t="shared" si="41"/>
        <v>#N/A</v>
      </c>
      <c r="AS59" s="121">
        <f t="shared" si="48"/>
        <v>1</v>
      </c>
      <c r="AT59" s="120" t="str">
        <f t="shared" si="49"/>
        <v> </v>
      </c>
      <c r="AU59" s="120" t="str">
        <f t="shared" si="50"/>
        <v> </v>
      </c>
      <c r="AV59" s="120" t="e">
        <f t="shared" si="13"/>
        <v>#N/A</v>
      </c>
      <c r="AW59" s="120" t="e">
        <f t="shared" si="14"/>
        <v>#N/A</v>
      </c>
      <c r="AX59" s="120">
        <f t="shared" si="15"/>
      </c>
      <c r="AY59" s="120" t="e">
        <f t="shared" si="16"/>
        <v>#N/A</v>
      </c>
      <c r="AZ59" s="120" t="e">
        <f>VLOOKUP(AY59,'排出係数表'!$A$4:$C$202,2,FALSE)</f>
        <v>#N/A</v>
      </c>
      <c r="BA59" s="120" t="e">
        <f t="shared" si="17"/>
        <v>#N/A</v>
      </c>
      <c r="BB59" s="120" t="e">
        <f>VLOOKUP(AY59,'排出係数表'!$A$4:$C$202,3,FALSE)</f>
        <v>#N/A</v>
      </c>
      <c r="BC59" s="120" t="e">
        <f t="shared" si="18"/>
        <v>#N/A</v>
      </c>
      <c r="BD59" s="120">
        <f t="shared" si="30"/>
        <v>1</v>
      </c>
      <c r="BE59" s="122">
        <f t="shared" si="19"/>
      </c>
      <c r="BF59" s="123" t="e">
        <f t="shared" si="51"/>
        <v>#VALUE!</v>
      </c>
      <c r="BG59" s="122">
        <f t="shared" si="35"/>
      </c>
      <c r="BH59" s="120" t="e">
        <f t="shared" si="36"/>
        <v>#VALUE!</v>
      </c>
      <c r="BI59" s="120" t="e">
        <f t="shared" si="37"/>
        <v>#VALUE!</v>
      </c>
      <c r="BJ59" s="122" t="e">
        <f>VLOOKUP(AY59,'排出係数表'!$A$4:$D$202,4)</f>
        <v>#N/A</v>
      </c>
      <c r="BK59" s="257">
        <f t="shared" si="38"/>
      </c>
    </row>
    <row r="60" spans="1:63" s="124" customFormat="1" ht="13.5" customHeight="1">
      <c r="A60" s="120"/>
      <c r="B60" s="120"/>
      <c r="C60" s="155"/>
      <c r="D60" s="155"/>
      <c r="E60" s="155"/>
      <c r="F60" s="155"/>
      <c r="G60" s="156"/>
      <c r="H60" s="157"/>
      <c r="I60" s="155"/>
      <c r="J60" s="155"/>
      <c r="K60" s="158"/>
      <c r="L60" s="159"/>
      <c r="M60" s="244"/>
      <c r="N60" s="155"/>
      <c r="O60" s="345">
        <f t="shared" si="21"/>
      </c>
      <c r="P60" s="345">
        <f t="shared" si="0"/>
      </c>
      <c r="Q60" s="508"/>
      <c r="R60" s="346"/>
      <c r="S60" s="347"/>
      <c r="T60" s="348"/>
      <c r="U60" s="347"/>
      <c r="V60" s="348"/>
      <c r="W60" s="347"/>
      <c r="X60" s="348"/>
      <c r="Y60" s="347"/>
      <c r="Z60" s="348"/>
      <c r="AA60" s="340" t="e">
        <f t="shared" si="1"/>
        <v>#N/A</v>
      </c>
      <c r="AB60" s="339">
        <f t="shared" si="22"/>
      </c>
      <c r="AC60" s="339">
        <f t="shared" si="23"/>
      </c>
      <c r="AD60" s="255">
        <f t="shared" si="24"/>
      </c>
      <c r="AE60" s="256">
        <f t="shared" si="25"/>
      </c>
      <c r="AF60" s="256">
        <f t="shared" si="26"/>
      </c>
      <c r="AG60" s="255">
        <f t="shared" si="27"/>
      </c>
      <c r="AH60" s="255">
        <f t="shared" si="2"/>
      </c>
      <c r="AI60" s="255">
        <f t="shared" si="28"/>
      </c>
      <c r="AJ60" s="255">
        <f t="shared" si="29"/>
      </c>
      <c r="AK60" s="255">
        <f t="shared" si="3"/>
      </c>
      <c r="AL60" s="255">
        <f t="shared" si="4"/>
      </c>
      <c r="AM60" s="120">
        <f ca="1" t="shared" si="46"/>
        <v>0</v>
      </c>
      <c r="AN60" s="120" t="e">
        <f t="shared" si="6"/>
        <v>#N/A</v>
      </c>
      <c r="AO60" s="120">
        <f>ROWS($AO$4:AO60)-1</f>
        <v>56</v>
      </c>
      <c r="AP60" s="255" t="e">
        <f t="shared" si="47"/>
        <v>#N/A</v>
      </c>
      <c r="AQ60" s="120" t="e">
        <f t="shared" si="8"/>
        <v>#N/A</v>
      </c>
      <c r="AR60" s="120" t="e">
        <f t="shared" si="41"/>
        <v>#N/A</v>
      </c>
      <c r="AS60" s="121">
        <f t="shared" si="48"/>
        <v>1</v>
      </c>
      <c r="AT60" s="120" t="str">
        <f t="shared" si="49"/>
        <v> </v>
      </c>
      <c r="AU60" s="120" t="str">
        <f t="shared" si="50"/>
        <v> </v>
      </c>
      <c r="AV60" s="120" t="e">
        <f t="shared" si="13"/>
        <v>#N/A</v>
      </c>
      <c r="AW60" s="120" t="e">
        <f t="shared" si="14"/>
        <v>#N/A</v>
      </c>
      <c r="AX60" s="120">
        <f t="shared" si="15"/>
      </c>
      <c r="AY60" s="120" t="e">
        <f t="shared" si="16"/>
        <v>#N/A</v>
      </c>
      <c r="AZ60" s="120" t="e">
        <f>VLOOKUP(AY60,'排出係数表'!$A$4:$C$202,2,FALSE)</f>
        <v>#N/A</v>
      </c>
      <c r="BA60" s="120" t="e">
        <f t="shared" si="17"/>
        <v>#N/A</v>
      </c>
      <c r="BB60" s="120" t="e">
        <f>VLOOKUP(AY60,'排出係数表'!$A$4:$C$202,3,FALSE)</f>
        <v>#N/A</v>
      </c>
      <c r="BC60" s="120" t="e">
        <f t="shared" si="18"/>
        <v>#N/A</v>
      </c>
      <c r="BD60" s="120">
        <f t="shared" si="30"/>
        <v>1</v>
      </c>
      <c r="BE60" s="122">
        <f t="shared" si="19"/>
      </c>
      <c r="BF60" s="123" t="e">
        <f t="shared" si="51"/>
        <v>#VALUE!</v>
      </c>
      <c r="BG60" s="122">
        <f t="shared" si="35"/>
      </c>
      <c r="BH60" s="120" t="e">
        <f t="shared" si="36"/>
        <v>#VALUE!</v>
      </c>
      <c r="BI60" s="120" t="e">
        <f t="shared" si="37"/>
        <v>#VALUE!</v>
      </c>
      <c r="BJ60" s="122" t="e">
        <f>VLOOKUP(AY60,'排出係数表'!$A$4:$D$202,4)</f>
        <v>#N/A</v>
      </c>
      <c r="BK60" s="257">
        <f t="shared" si="38"/>
      </c>
    </row>
    <row r="61" spans="1:63" s="124" customFormat="1" ht="13.5" customHeight="1">
      <c r="A61" s="120"/>
      <c r="B61" s="120"/>
      <c r="C61" s="155"/>
      <c r="D61" s="155"/>
      <c r="E61" s="155"/>
      <c r="F61" s="155"/>
      <c r="G61" s="156"/>
      <c r="H61" s="157"/>
      <c r="I61" s="155"/>
      <c r="J61" s="155"/>
      <c r="K61" s="158"/>
      <c r="L61" s="159"/>
      <c r="M61" s="244"/>
      <c r="N61" s="155"/>
      <c r="O61" s="345">
        <f t="shared" si="21"/>
      </c>
      <c r="P61" s="345">
        <f t="shared" si="0"/>
      </c>
      <c r="Q61" s="508"/>
      <c r="R61" s="346"/>
      <c r="S61" s="347"/>
      <c r="T61" s="348"/>
      <c r="U61" s="347"/>
      <c r="V61" s="348"/>
      <c r="W61" s="347"/>
      <c r="X61" s="348"/>
      <c r="Y61" s="347"/>
      <c r="Z61" s="348"/>
      <c r="AA61" s="340" t="e">
        <f t="shared" si="1"/>
        <v>#N/A</v>
      </c>
      <c r="AB61" s="339">
        <f t="shared" si="22"/>
      </c>
      <c r="AC61" s="339">
        <f t="shared" si="23"/>
      </c>
      <c r="AD61" s="255">
        <f t="shared" si="24"/>
      </c>
      <c r="AE61" s="256">
        <f t="shared" si="25"/>
      </c>
      <c r="AF61" s="256">
        <f t="shared" si="26"/>
      </c>
      <c r="AG61" s="255">
        <f t="shared" si="27"/>
      </c>
      <c r="AH61" s="255">
        <f t="shared" si="2"/>
      </c>
      <c r="AI61" s="255">
        <f t="shared" si="28"/>
      </c>
      <c r="AJ61" s="255">
        <f t="shared" si="29"/>
      </c>
      <c r="AK61" s="255">
        <f t="shared" si="3"/>
      </c>
      <c r="AL61" s="255">
        <f t="shared" si="4"/>
      </c>
      <c r="AM61" s="120">
        <f ca="1" t="shared" si="46"/>
        <v>0</v>
      </c>
      <c r="AN61" s="120" t="e">
        <f t="shared" si="6"/>
        <v>#N/A</v>
      </c>
      <c r="AO61" s="120">
        <f>ROWS($AO$4:AO61)-1</f>
        <v>57</v>
      </c>
      <c r="AP61" s="255" t="e">
        <f t="shared" si="47"/>
        <v>#N/A</v>
      </c>
      <c r="AQ61" s="120" t="e">
        <f t="shared" si="8"/>
        <v>#N/A</v>
      </c>
      <c r="AR61" s="120" t="e">
        <f t="shared" si="41"/>
        <v>#N/A</v>
      </c>
      <c r="AS61" s="121">
        <f t="shared" si="48"/>
        <v>1</v>
      </c>
      <c r="AT61" s="120" t="str">
        <f t="shared" si="49"/>
        <v> </v>
      </c>
      <c r="AU61" s="120" t="str">
        <f t="shared" si="50"/>
        <v> </v>
      </c>
      <c r="AV61" s="120" t="e">
        <f t="shared" si="13"/>
        <v>#N/A</v>
      </c>
      <c r="AW61" s="120" t="e">
        <f t="shared" si="14"/>
        <v>#N/A</v>
      </c>
      <c r="AX61" s="120">
        <f t="shared" si="15"/>
      </c>
      <c r="AY61" s="120" t="e">
        <f t="shared" si="16"/>
        <v>#N/A</v>
      </c>
      <c r="AZ61" s="120" t="e">
        <f>VLOOKUP(AY61,'排出係数表'!$A$4:$C$202,2,FALSE)</f>
        <v>#N/A</v>
      </c>
      <c r="BA61" s="120" t="e">
        <f t="shared" si="17"/>
        <v>#N/A</v>
      </c>
      <c r="BB61" s="120" t="e">
        <f>VLOOKUP(AY61,'排出係数表'!$A$4:$C$202,3,FALSE)</f>
        <v>#N/A</v>
      </c>
      <c r="BC61" s="120" t="e">
        <f t="shared" si="18"/>
        <v>#N/A</v>
      </c>
      <c r="BD61" s="120">
        <f t="shared" si="30"/>
        <v>1</v>
      </c>
      <c r="BE61" s="122">
        <f t="shared" si="19"/>
      </c>
      <c r="BF61" s="123" t="e">
        <f t="shared" si="51"/>
        <v>#VALUE!</v>
      </c>
      <c r="BG61" s="122">
        <f t="shared" si="35"/>
      </c>
      <c r="BH61" s="120" t="e">
        <f t="shared" si="36"/>
        <v>#VALUE!</v>
      </c>
      <c r="BI61" s="120" t="e">
        <f t="shared" si="37"/>
        <v>#VALUE!</v>
      </c>
      <c r="BJ61" s="122" t="e">
        <f>VLOOKUP(AY61,'排出係数表'!$A$4:$D$202,4)</f>
        <v>#N/A</v>
      </c>
      <c r="BK61" s="257">
        <f t="shared" si="38"/>
      </c>
    </row>
    <row r="62" spans="1:63" s="124" customFormat="1" ht="13.5" customHeight="1">
      <c r="A62" s="120"/>
      <c r="B62" s="120"/>
      <c r="C62" s="155"/>
      <c r="D62" s="155"/>
      <c r="E62" s="155"/>
      <c r="F62" s="155"/>
      <c r="G62" s="156"/>
      <c r="H62" s="157"/>
      <c r="I62" s="155"/>
      <c r="J62" s="155"/>
      <c r="K62" s="158"/>
      <c r="L62" s="159"/>
      <c r="M62" s="244"/>
      <c r="N62" s="155"/>
      <c r="O62" s="345">
        <f t="shared" si="21"/>
      </c>
      <c r="P62" s="345">
        <f t="shared" si="0"/>
      </c>
      <c r="Q62" s="508"/>
      <c r="R62" s="346"/>
      <c r="S62" s="347"/>
      <c r="T62" s="348"/>
      <c r="U62" s="347"/>
      <c r="V62" s="348"/>
      <c r="W62" s="347"/>
      <c r="X62" s="348"/>
      <c r="Y62" s="347"/>
      <c r="Z62" s="348"/>
      <c r="AA62" s="340" t="e">
        <f t="shared" si="1"/>
        <v>#N/A</v>
      </c>
      <c r="AB62" s="339">
        <f t="shared" si="22"/>
      </c>
      <c r="AC62" s="339">
        <f t="shared" si="23"/>
      </c>
      <c r="AD62" s="255">
        <f t="shared" si="24"/>
      </c>
      <c r="AE62" s="256">
        <f t="shared" si="25"/>
      </c>
      <c r="AF62" s="256">
        <f t="shared" si="26"/>
      </c>
      <c r="AG62" s="255">
        <f t="shared" si="27"/>
      </c>
      <c r="AH62" s="255">
        <f t="shared" si="2"/>
      </c>
      <c r="AI62" s="255">
        <f t="shared" si="28"/>
      </c>
      <c r="AJ62" s="255">
        <f t="shared" si="29"/>
      </c>
      <c r="AK62" s="255">
        <f t="shared" si="3"/>
      </c>
      <c r="AL62" s="255">
        <f t="shared" si="4"/>
      </c>
      <c r="AM62" s="120">
        <f ca="1" t="shared" si="46"/>
        <v>0</v>
      </c>
      <c r="AN62" s="120" t="e">
        <f t="shared" si="6"/>
        <v>#N/A</v>
      </c>
      <c r="AO62" s="120">
        <f>ROWS($AO$4:AO62)-1</f>
        <v>58</v>
      </c>
      <c r="AP62" s="255" t="e">
        <f t="shared" si="47"/>
        <v>#N/A</v>
      </c>
      <c r="AQ62" s="120" t="e">
        <f t="shared" si="8"/>
        <v>#N/A</v>
      </c>
      <c r="AR62" s="120" t="e">
        <f t="shared" si="41"/>
        <v>#N/A</v>
      </c>
      <c r="AS62" s="121">
        <f t="shared" si="48"/>
        <v>1</v>
      </c>
      <c r="AT62" s="120" t="str">
        <f t="shared" si="49"/>
        <v> </v>
      </c>
      <c r="AU62" s="120" t="str">
        <f t="shared" si="50"/>
        <v> </v>
      </c>
      <c r="AV62" s="120" t="e">
        <f t="shared" si="13"/>
        <v>#N/A</v>
      </c>
      <c r="AW62" s="120" t="e">
        <f t="shared" si="14"/>
        <v>#N/A</v>
      </c>
      <c r="AX62" s="120">
        <f t="shared" si="15"/>
      </c>
      <c r="AY62" s="120" t="e">
        <f t="shared" si="16"/>
        <v>#N/A</v>
      </c>
      <c r="AZ62" s="120" t="e">
        <f>VLOOKUP(AY62,'排出係数表'!$A$4:$C$202,2,FALSE)</f>
        <v>#N/A</v>
      </c>
      <c r="BA62" s="120" t="e">
        <f t="shared" si="17"/>
        <v>#N/A</v>
      </c>
      <c r="BB62" s="120" t="e">
        <f>VLOOKUP(AY62,'排出係数表'!$A$4:$C$202,3,FALSE)</f>
        <v>#N/A</v>
      </c>
      <c r="BC62" s="120" t="e">
        <f t="shared" si="18"/>
        <v>#N/A</v>
      </c>
      <c r="BD62" s="120">
        <f t="shared" si="30"/>
        <v>1</v>
      </c>
      <c r="BE62" s="122">
        <f t="shared" si="19"/>
      </c>
      <c r="BF62" s="123" t="e">
        <f t="shared" si="51"/>
        <v>#VALUE!</v>
      </c>
      <c r="BG62" s="122">
        <f t="shared" si="35"/>
      </c>
      <c r="BH62" s="120" t="e">
        <f t="shared" si="36"/>
        <v>#VALUE!</v>
      </c>
      <c r="BI62" s="120" t="e">
        <f t="shared" si="37"/>
        <v>#VALUE!</v>
      </c>
      <c r="BJ62" s="122" t="e">
        <f>VLOOKUP(AY62,'排出係数表'!$A$4:$D$202,4)</f>
        <v>#N/A</v>
      </c>
      <c r="BK62" s="257">
        <f t="shared" si="38"/>
      </c>
    </row>
    <row r="63" spans="1:63" s="124" customFormat="1" ht="13.5" customHeight="1">
      <c r="A63" s="120"/>
      <c r="B63" s="120"/>
      <c r="C63" s="155"/>
      <c r="D63" s="155"/>
      <c r="E63" s="155"/>
      <c r="F63" s="155"/>
      <c r="G63" s="156"/>
      <c r="H63" s="157"/>
      <c r="I63" s="155"/>
      <c r="J63" s="155"/>
      <c r="K63" s="158"/>
      <c r="L63" s="159"/>
      <c r="M63" s="244"/>
      <c r="N63" s="155"/>
      <c r="O63" s="345">
        <f t="shared" si="21"/>
      </c>
      <c r="P63" s="345">
        <f t="shared" si="0"/>
      </c>
      <c r="Q63" s="508"/>
      <c r="R63" s="346"/>
      <c r="S63" s="347"/>
      <c r="T63" s="348"/>
      <c r="U63" s="347"/>
      <c r="V63" s="348"/>
      <c r="W63" s="347"/>
      <c r="X63" s="348"/>
      <c r="Y63" s="347"/>
      <c r="Z63" s="348"/>
      <c r="AA63" s="340" t="e">
        <f t="shared" si="1"/>
        <v>#N/A</v>
      </c>
      <c r="AB63" s="339">
        <f t="shared" si="22"/>
      </c>
      <c r="AC63" s="339">
        <f t="shared" si="23"/>
      </c>
      <c r="AD63" s="255">
        <f t="shared" si="24"/>
      </c>
      <c r="AE63" s="256">
        <f t="shared" si="25"/>
      </c>
      <c r="AF63" s="256">
        <f t="shared" si="26"/>
      </c>
      <c r="AG63" s="255">
        <f t="shared" si="27"/>
      </c>
      <c r="AH63" s="255">
        <f t="shared" si="2"/>
      </c>
      <c r="AI63" s="255">
        <f t="shared" si="28"/>
      </c>
      <c r="AJ63" s="255">
        <f t="shared" si="29"/>
      </c>
      <c r="AK63" s="255">
        <f t="shared" si="3"/>
      </c>
      <c r="AL63" s="255">
        <f t="shared" si="4"/>
      </c>
      <c r="AM63" s="120">
        <f ca="1" t="shared" si="46"/>
        <v>0</v>
      </c>
      <c r="AN63" s="120" t="e">
        <f t="shared" si="6"/>
        <v>#N/A</v>
      </c>
      <c r="AO63" s="120">
        <f>ROWS($AO$4:AO63)-1</f>
        <v>59</v>
      </c>
      <c r="AP63" s="255" t="e">
        <f t="shared" si="47"/>
        <v>#N/A</v>
      </c>
      <c r="AQ63" s="120" t="e">
        <f t="shared" si="8"/>
        <v>#N/A</v>
      </c>
      <c r="AR63" s="120" t="e">
        <f t="shared" si="41"/>
        <v>#N/A</v>
      </c>
      <c r="AS63" s="121">
        <f t="shared" si="48"/>
        <v>1</v>
      </c>
      <c r="AT63" s="120" t="str">
        <f t="shared" si="49"/>
        <v> </v>
      </c>
      <c r="AU63" s="120" t="str">
        <f t="shared" si="50"/>
        <v> </v>
      </c>
      <c r="AV63" s="120" t="e">
        <f t="shared" si="13"/>
        <v>#N/A</v>
      </c>
      <c r="AW63" s="120" t="e">
        <f t="shared" si="14"/>
        <v>#N/A</v>
      </c>
      <c r="AX63" s="120">
        <f t="shared" si="15"/>
      </c>
      <c r="AY63" s="120" t="e">
        <f t="shared" si="16"/>
        <v>#N/A</v>
      </c>
      <c r="AZ63" s="120" t="e">
        <f>VLOOKUP(AY63,'排出係数表'!$A$4:$C$202,2,FALSE)</f>
        <v>#N/A</v>
      </c>
      <c r="BA63" s="120" t="e">
        <f t="shared" si="17"/>
        <v>#N/A</v>
      </c>
      <c r="BB63" s="120" t="e">
        <f>VLOOKUP(AY63,'排出係数表'!$A$4:$C$202,3,FALSE)</f>
        <v>#N/A</v>
      </c>
      <c r="BC63" s="120" t="e">
        <f t="shared" si="18"/>
        <v>#N/A</v>
      </c>
      <c r="BD63" s="120">
        <f t="shared" si="30"/>
        <v>1</v>
      </c>
      <c r="BE63" s="122">
        <f t="shared" si="19"/>
      </c>
      <c r="BF63" s="123" t="e">
        <f t="shared" si="51"/>
        <v>#VALUE!</v>
      </c>
      <c r="BG63" s="122">
        <f t="shared" si="35"/>
      </c>
      <c r="BH63" s="120" t="e">
        <f t="shared" si="36"/>
        <v>#VALUE!</v>
      </c>
      <c r="BI63" s="120" t="e">
        <f t="shared" si="37"/>
        <v>#VALUE!</v>
      </c>
      <c r="BJ63" s="122" t="e">
        <f>VLOOKUP(AY63,'排出係数表'!$A$4:$D$202,4)</f>
        <v>#N/A</v>
      </c>
      <c r="BK63" s="257">
        <f t="shared" si="38"/>
      </c>
    </row>
    <row r="64" spans="1:63" s="124" customFormat="1" ht="13.5" customHeight="1">
      <c r="A64" s="120"/>
      <c r="B64" s="120"/>
      <c r="C64" s="155"/>
      <c r="D64" s="155"/>
      <c r="E64" s="155"/>
      <c r="F64" s="155"/>
      <c r="G64" s="156"/>
      <c r="H64" s="157"/>
      <c r="I64" s="155"/>
      <c r="J64" s="155"/>
      <c r="K64" s="158"/>
      <c r="L64" s="159"/>
      <c r="M64" s="244"/>
      <c r="N64" s="155"/>
      <c r="O64" s="345">
        <f t="shared" si="21"/>
      </c>
      <c r="P64" s="345">
        <f t="shared" si="0"/>
      </c>
      <c r="Q64" s="508"/>
      <c r="R64" s="346"/>
      <c r="S64" s="347"/>
      <c r="T64" s="348"/>
      <c r="U64" s="347"/>
      <c r="V64" s="348"/>
      <c r="W64" s="347"/>
      <c r="X64" s="348"/>
      <c r="Y64" s="347"/>
      <c r="Z64" s="348"/>
      <c r="AA64" s="340" t="e">
        <f t="shared" si="1"/>
        <v>#N/A</v>
      </c>
      <c r="AB64" s="339">
        <f t="shared" si="22"/>
      </c>
      <c r="AC64" s="339">
        <f t="shared" si="23"/>
      </c>
      <c r="AD64" s="255">
        <f t="shared" si="24"/>
      </c>
      <c r="AE64" s="256">
        <f t="shared" si="25"/>
      </c>
      <c r="AF64" s="256">
        <f t="shared" si="26"/>
      </c>
      <c r="AG64" s="255">
        <f t="shared" si="27"/>
      </c>
      <c r="AH64" s="255">
        <f t="shared" si="2"/>
      </c>
      <c r="AI64" s="255">
        <f t="shared" si="28"/>
      </c>
      <c r="AJ64" s="255">
        <f t="shared" si="29"/>
      </c>
      <c r="AK64" s="255">
        <f t="shared" si="3"/>
      </c>
      <c r="AL64" s="255">
        <f t="shared" si="4"/>
      </c>
      <c r="AM64" s="120">
        <f ca="1" t="shared" si="46"/>
        <v>0</v>
      </c>
      <c r="AN64" s="120" t="e">
        <f t="shared" si="6"/>
        <v>#N/A</v>
      </c>
      <c r="AO64" s="120">
        <f>ROWS($AO$4:AO64)-1</f>
        <v>60</v>
      </c>
      <c r="AP64" s="255" t="e">
        <f t="shared" si="47"/>
        <v>#N/A</v>
      </c>
      <c r="AQ64" s="120" t="e">
        <f t="shared" si="8"/>
        <v>#N/A</v>
      </c>
      <c r="AR64" s="120" t="e">
        <f t="shared" si="41"/>
        <v>#N/A</v>
      </c>
      <c r="AS64" s="121">
        <f t="shared" si="48"/>
        <v>1</v>
      </c>
      <c r="AT64" s="120" t="str">
        <f t="shared" si="49"/>
        <v> </v>
      </c>
      <c r="AU64" s="120" t="str">
        <f t="shared" si="50"/>
        <v> </v>
      </c>
      <c r="AV64" s="120" t="e">
        <f t="shared" si="13"/>
        <v>#N/A</v>
      </c>
      <c r="AW64" s="120" t="e">
        <f t="shared" si="14"/>
        <v>#N/A</v>
      </c>
      <c r="AX64" s="120">
        <f t="shared" si="15"/>
      </c>
      <c r="AY64" s="120" t="e">
        <f t="shared" si="16"/>
        <v>#N/A</v>
      </c>
      <c r="AZ64" s="120" t="e">
        <f>VLOOKUP(AY64,'排出係数表'!$A$4:$C$202,2,FALSE)</f>
        <v>#N/A</v>
      </c>
      <c r="BA64" s="120" t="e">
        <f t="shared" si="17"/>
        <v>#N/A</v>
      </c>
      <c r="BB64" s="120" t="e">
        <f>VLOOKUP(AY64,'排出係数表'!$A$4:$C$202,3,FALSE)</f>
        <v>#N/A</v>
      </c>
      <c r="BC64" s="120" t="e">
        <f t="shared" si="18"/>
        <v>#N/A</v>
      </c>
      <c r="BD64" s="120">
        <f t="shared" si="30"/>
        <v>1</v>
      </c>
      <c r="BE64" s="122">
        <f t="shared" si="19"/>
      </c>
      <c r="BF64" s="123" t="e">
        <f t="shared" si="51"/>
        <v>#VALUE!</v>
      </c>
      <c r="BG64" s="122">
        <f t="shared" si="35"/>
      </c>
      <c r="BH64" s="120" t="e">
        <f t="shared" si="36"/>
        <v>#VALUE!</v>
      </c>
      <c r="BI64" s="120" t="e">
        <f t="shared" si="37"/>
        <v>#VALUE!</v>
      </c>
      <c r="BJ64" s="122" t="e">
        <f>VLOOKUP(AY64,'排出係数表'!$A$4:$D$202,4)</f>
        <v>#N/A</v>
      </c>
      <c r="BK64" s="257">
        <f t="shared" si="38"/>
      </c>
    </row>
    <row r="65" spans="1:63" s="124" customFormat="1" ht="13.5" customHeight="1">
      <c r="A65" s="120"/>
      <c r="B65" s="120"/>
      <c r="C65" s="155"/>
      <c r="D65" s="155"/>
      <c r="E65" s="155"/>
      <c r="F65" s="155"/>
      <c r="G65" s="156"/>
      <c r="H65" s="157"/>
      <c r="I65" s="155"/>
      <c r="J65" s="155"/>
      <c r="K65" s="158"/>
      <c r="L65" s="159"/>
      <c r="M65" s="244"/>
      <c r="N65" s="155"/>
      <c r="O65" s="345">
        <f t="shared" si="21"/>
      </c>
      <c r="P65" s="345">
        <f t="shared" si="0"/>
      </c>
      <c r="Q65" s="508"/>
      <c r="R65" s="346"/>
      <c r="S65" s="347"/>
      <c r="T65" s="348"/>
      <c r="U65" s="347"/>
      <c r="V65" s="348"/>
      <c r="W65" s="347"/>
      <c r="X65" s="348"/>
      <c r="Y65" s="347"/>
      <c r="Z65" s="348"/>
      <c r="AA65" s="340" t="e">
        <f t="shared" si="1"/>
        <v>#N/A</v>
      </c>
      <c r="AB65" s="339">
        <f t="shared" si="22"/>
      </c>
      <c r="AC65" s="339">
        <f t="shared" si="23"/>
      </c>
      <c r="AD65" s="255">
        <f t="shared" si="24"/>
      </c>
      <c r="AE65" s="256">
        <f t="shared" si="25"/>
      </c>
      <c r="AF65" s="256">
        <f t="shared" si="26"/>
      </c>
      <c r="AG65" s="255">
        <f t="shared" si="27"/>
      </c>
      <c r="AH65" s="255">
        <f t="shared" si="2"/>
      </c>
      <c r="AI65" s="255">
        <f t="shared" si="28"/>
      </c>
      <c r="AJ65" s="255">
        <f t="shared" si="29"/>
      </c>
      <c r="AK65" s="255">
        <f t="shared" si="3"/>
      </c>
      <c r="AL65" s="255">
        <f t="shared" si="4"/>
      </c>
      <c r="AM65" s="120">
        <f ca="1" t="shared" si="46"/>
        <v>0</v>
      </c>
      <c r="AN65" s="120" t="e">
        <f t="shared" si="6"/>
        <v>#N/A</v>
      </c>
      <c r="AO65" s="120">
        <f>ROWS($AO$4:AO65)-1</f>
        <v>61</v>
      </c>
      <c r="AP65" s="255" t="e">
        <f t="shared" si="47"/>
        <v>#N/A</v>
      </c>
      <c r="AQ65" s="120" t="e">
        <f t="shared" si="8"/>
        <v>#N/A</v>
      </c>
      <c r="AR65" s="120" t="e">
        <f t="shared" si="41"/>
        <v>#N/A</v>
      </c>
      <c r="AS65" s="121">
        <f t="shared" si="48"/>
        <v>1</v>
      </c>
      <c r="AT65" s="120" t="str">
        <f t="shared" si="49"/>
        <v> </v>
      </c>
      <c r="AU65" s="120" t="str">
        <f t="shared" si="50"/>
        <v> </v>
      </c>
      <c r="AV65" s="120" t="e">
        <f t="shared" si="13"/>
        <v>#N/A</v>
      </c>
      <c r="AW65" s="120" t="e">
        <f t="shared" si="14"/>
        <v>#N/A</v>
      </c>
      <c r="AX65" s="120">
        <f t="shared" si="15"/>
      </c>
      <c r="AY65" s="120" t="e">
        <f t="shared" si="16"/>
        <v>#N/A</v>
      </c>
      <c r="AZ65" s="120" t="e">
        <f>VLOOKUP(AY65,'排出係数表'!$A$4:$C$202,2,FALSE)</f>
        <v>#N/A</v>
      </c>
      <c r="BA65" s="120" t="e">
        <f t="shared" si="17"/>
        <v>#N/A</v>
      </c>
      <c r="BB65" s="120" t="e">
        <f>VLOOKUP(AY65,'排出係数表'!$A$4:$C$202,3,FALSE)</f>
        <v>#N/A</v>
      </c>
      <c r="BC65" s="120" t="e">
        <f t="shared" si="18"/>
        <v>#N/A</v>
      </c>
      <c r="BD65" s="120">
        <f t="shared" si="30"/>
        <v>1</v>
      </c>
      <c r="BE65" s="122">
        <f t="shared" si="19"/>
      </c>
      <c r="BF65" s="123" t="e">
        <f t="shared" si="51"/>
        <v>#VALUE!</v>
      </c>
      <c r="BG65" s="122">
        <f t="shared" si="35"/>
      </c>
      <c r="BH65" s="120" t="e">
        <f t="shared" si="36"/>
        <v>#VALUE!</v>
      </c>
      <c r="BI65" s="120" t="e">
        <f t="shared" si="37"/>
        <v>#VALUE!</v>
      </c>
      <c r="BJ65" s="122" t="e">
        <f>VLOOKUP(AY65,'排出係数表'!$A$4:$D$202,4)</f>
        <v>#N/A</v>
      </c>
      <c r="BK65" s="257">
        <f t="shared" si="38"/>
      </c>
    </row>
    <row r="66" spans="1:63" s="124" customFormat="1" ht="13.5" customHeight="1">
      <c r="A66" s="120"/>
      <c r="B66" s="120"/>
      <c r="C66" s="155"/>
      <c r="D66" s="155"/>
      <c r="E66" s="155"/>
      <c r="F66" s="155"/>
      <c r="G66" s="156"/>
      <c r="H66" s="157"/>
      <c r="I66" s="155"/>
      <c r="J66" s="155"/>
      <c r="K66" s="158"/>
      <c r="L66" s="159"/>
      <c r="M66" s="244"/>
      <c r="N66" s="155"/>
      <c r="O66" s="345">
        <f t="shared" si="21"/>
      </c>
      <c r="P66" s="345">
        <f t="shared" si="0"/>
      </c>
      <c r="Q66" s="508"/>
      <c r="R66" s="346"/>
      <c r="S66" s="347"/>
      <c r="T66" s="348"/>
      <c r="U66" s="347"/>
      <c r="V66" s="348"/>
      <c r="W66" s="347"/>
      <c r="X66" s="348"/>
      <c r="Y66" s="347"/>
      <c r="Z66" s="348"/>
      <c r="AA66" s="340" t="e">
        <f t="shared" si="1"/>
        <v>#N/A</v>
      </c>
      <c r="AB66" s="339">
        <f t="shared" si="22"/>
      </c>
      <c r="AC66" s="339">
        <f t="shared" si="23"/>
      </c>
      <c r="AD66" s="255">
        <f t="shared" si="24"/>
      </c>
      <c r="AE66" s="256">
        <f t="shared" si="25"/>
      </c>
      <c r="AF66" s="256">
        <f t="shared" si="26"/>
      </c>
      <c r="AG66" s="255">
        <f t="shared" si="27"/>
      </c>
      <c r="AH66" s="255">
        <f t="shared" si="2"/>
      </c>
      <c r="AI66" s="255">
        <f t="shared" si="28"/>
      </c>
      <c r="AJ66" s="255">
        <f t="shared" si="29"/>
      </c>
      <c r="AK66" s="255">
        <f t="shared" si="3"/>
      </c>
      <c r="AL66" s="255">
        <f t="shared" si="4"/>
      </c>
      <c r="AM66" s="120">
        <f ca="1" t="shared" si="46"/>
        <v>0</v>
      </c>
      <c r="AN66" s="120" t="e">
        <f t="shared" si="6"/>
        <v>#N/A</v>
      </c>
      <c r="AO66" s="120">
        <f>ROWS($AO$4:AO66)-1</f>
        <v>62</v>
      </c>
      <c r="AP66" s="255" t="e">
        <f t="shared" si="47"/>
        <v>#N/A</v>
      </c>
      <c r="AQ66" s="120" t="e">
        <f t="shared" si="8"/>
        <v>#N/A</v>
      </c>
      <c r="AR66" s="120" t="e">
        <f t="shared" si="41"/>
        <v>#N/A</v>
      </c>
      <c r="AS66" s="121">
        <f t="shared" si="48"/>
        <v>1</v>
      </c>
      <c r="AT66" s="120" t="str">
        <f t="shared" si="49"/>
        <v> </v>
      </c>
      <c r="AU66" s="120" t="str">
        <f t="shared" si="50"/>
        <v> </v>
      </c>
      <c r="AV66" s="120" t="e">
        <f t="shared" si="13"/>
        <v>#N/A</v>
      </c>
      <c r="AW66" s="120" t="e">
        <f t="shared" si="14"/>
        <v>#N/A</v>
      </c>
      <c r="AX66" s="120">
        <f t="shared" si="15"/>
      </c>
      <c r="AY66" s="120" t="e">
        <f t="shared" si="16"/>
        <v>#N/A</v>
      </c>
      <c r="AZ66" s="120" t="e">
        <f>VLOOKUP(AY66,'排出係数表'!$A$4:$C$202,2,FALSE)</f>
        <v>#N/A</v>
      </c>
      <c r="BA66" s="120" t="e">
        <f t="shared" si="17"/>
        <v>#N/A</v>
      </c>
      <c r="BB66" s="120" t="e">
        <f>VLOOKUP(AY66,'排出係数表'!$A$4:$C$202,3,FALSE)</f>
        <v>#N/A</v>
      </c>
      <c r="BC66" s="120" t="e">
        <f t="shared" si="18"/>
        <v>#N/A</v>
      </c>
      <c r="BD66" s="120">
        <f t="shared" si="30"/>
        <v>1</v>
      </c>
      <c r="BE66" s="122">
        <f t="shared" si="19"/>
      </c>
      <c r="BF66" s="123" t="e">
        <f t="shared" si="51"/>
        <v>#VALUE!</v>
      </c>
      <c r="BG66" s="122">
        <f t="shared" si="35"/>
      </c>
      <c r="BH66" s="120" t="e">
        <f t="shared" si="36"/>
        <v>#VALUE!</v>
      </c>
      <c r="BI66" s="120" t="e">
        <f t="shared" si="37"/>
        <v>#VALUE!</v>
      </c>
      <c r="BJ66" s="122" t="e">
        <f>VLOOKUP(AY66,'排出係数表'!$A$4:$D$202,4)</f>
        <v>#N/A</v>
      </c>
      <c r="BK66" s="257">
        <f t="shared" si="38"/>
      </c>
    </row>
    <row r="67" spans="1:63" s="124" customFormat="1" ht="13.5" customHeight="1">
      <c r="A67" s="120"/>
      <c r="B67" s="120"/>
      <c r="C67" s="155"/>
      <c r="D67" s="155"/>
      <c r="E67" s="155"/>
      <c r="F67" s="155"/>
      <c r="G67" s="156"/>
      <c r="H67" s="157"/>
      <c r="I67" s="155"/>
      <c r="J67" s="155"/>
      <c r="K67" s="158"/>
      <c r="L67" s="159"/>
      <c r="M67" s="244"/>
      <c r="N67" s="155"/>
      <c r="O67" s="345">
        <f t="shared" si="21"/>
      </c>
      <c r="P67" s="345">
        <f t="shared" si="0"/>
      </c>
      <c r="Q67" s="508"/>
      <c r="R67" s="346"/>
      <c r="S67" s="347"/>
      <c r="T67" s="348"/>
      <c r="U67" s="347"/>
      <c r="V67" s="348"/>
      <c r="W67" s="347"/>
      <c r="X67" s="348"/>
      <c r="Y67" s="347"/>
      <c r="Z67" s="348"/>
      <c r="AA67" s="340" t="e">
        <f t="shared" si="1"/>
        <v>#N/A</v>
      </c>
      <c r="AB67" s="339">
        <f t="shared" si="22"/>
      </c>
      <c r="AC67" s="339">
        <f t="shared" si="23"/>
      </c>
      <c r="AD67" s="255">
        <f t="shared" si="24"/>
      </c>
      <c r="AE67" s="256">
        <f t="shared" si="25"/>
      </c>
      <c r="AF67" s="256">
        <f t="shared" si="26"/>
      </c>
      <c r="AG67" s="255">
        <f t="shared" si="27"/>
      </c>
      <c r="AH67" s="255">
        <f t="shared" si="2"/>
      </c>
      <c r="AI67" s="255">
        <f t="shared" si="28"/>
      </c>
      <c r="AJ67" s="255">
        <f t="shared" si="29"/>
      </c>
      <c r="AK67" s="255">
        <f t="shared" si="3"/>
      </c>
      <c r="AL67" s="255">
        <f t="shared" si="4"/>
      </c>
      <c r="AM67" s="120">
        <f ca="1" t="shared" si="46"/>
        <v>0</v>
      </c>
      <c r="AN67" s="120" t="e">
        <f t="shared" si="6"/>
        <v>#N/A</v>
      </c>
      <c r="AO67" s="120">
        <f>ROWS($AO$4:AO67)-1</f>
        <v>63</v>
      </c>
      <c r="AP67" s="255" t="e">
        <f t="shared" si="47"/>
        <v>#N/A</v>
      </c>
      <c r="AQ67" s="120" t="e">
        <f t="shared" si="8"/>
        <v>#N/A</v>
      </c>
      <c r="AR67" s="120" t="e">
        <f t="shared" si="41"/>
        <v>#N/A</v>
      </c>
      <c r="AS67" s="121">
        <f t="shared" si="48"/>
        <v>1</v>
      </c>
      <c r="AT67" s="120" t="str">
        <f t="shared" si="49"/>
        <v> </v>
      </c>
      <c r="AU67" s="120" t="str">
        <f t="shared" si="50"/>
        <v> </v>
      </c>
      <c r="AV67" s="120" t="e">
        <f t="shared" si="13"/>
        <v>#N/A</v>
      </c>
      <c r="AW67" s="120" t="e">
        <f t="shared" si="14"/>
        <v>#N/A</v>
      </c>
      <c r="AX67" s="120">
        <f t="shared" si="15"/>
      </c>
      <c r="AY67" s="120" t="e">
        <f t="shared" si="16"/>
        <v>#N/A</v>
      </c>
      <c r="AZ67" s="120" t="e">
        <f>VLOOKUP(AY67,'排出係数表'!$A$4:$C$202,2,FALSE)</f>
        <v>#N/A</v>
      </c>
      <c r="BA67" s="120" t="e">
        <f t="shared" si="17"/>
        <v>#N/A</v>
      </c>
      <c r="BB67" s="120" t="e">
        <f>VLOOKUP(AY67,'排出係数表'!$A$4:$C$202,3,FALSE)</f>
        <v>#N/A</v>
      </c>
      <c r="BC67" s="120" t="e">
        <f t="shared" si="18"/>
        <v>#N/A</v>
      </c>
      <c r="BD67" s="120">
        <f t="shared" si="30"/>
        <v>1</v>
      </c>
      <c r="BE67" s="122">
        <f t="shared" si="19"/>
      </c>
      <c r="BF67" s="123" t="e">
        <f t="shared" si="51"/>
        <v>#VALUE!</v>
      </c>
      <c r="BG67" s="122">
        <f t="shared" si="35"/>
      </c>
      <c r="BH67" s="120" t="e">
        <f t="shared" si="36"/>
        <v>#VALUE!</v>
      </c>
      <c r="BI67" s="120" t="e">
        <f t="shared" si="37"/>
        <v>#VALUE!</v>
      </c>
      <c r="BJ67" s="122" t="e">
        <f>VLOOKUP(AY67,'排出係数表'!$A$4:$D$202,4)</f>
        <v>#N/A</v>
      </c>
      <c r="BK67" s="257">
        <f t="shared" si="38"/>
      </c>
    </row>
    <row r="68" spans="1:63" s="124" customFormat="1" ht="13.5" customHeight="1">
      <c r="A68" s="120"/>
      <c r="B68" s="120"/>
      <c r="C68" s="155"/>
      <c r="D68" s="155"/>
      <c r="E68" s="155"/>
      <c r="F68" s="155"/>
      <c r="G68" s="156"/>
      <c r="H68" s="157"/>
      <c r="I68" s="155"/>
      <c r="J68" s="155"/>
      <c r="K68" s="158"/>
      <c r="L68" s="159"/>
      <c r="M68" s="244"/>
      <c r="N68" s="155"/>
      <c r="O68" s="345">
        <f t="shared" si="21"/>
      </c>
      <c r="P68" s="345">
        <f t="shared" si="0"/>
      </c>
      <c r="Q68" s="508"/>
      <c r="R68" s="346"/>
      <c r="S68" s="347"/>
      <c r="T68" s="348"/>
      <c r="U68" s="347"/>
      <c r="V68" s="348"/>
      <c r="W68" s="347"/>
      <c r="X68" s="348"/>
      <c r="Y68" s="347"/>
      <c r="Z68" s="348"/>
      <c r="AA68" s="340" t="e">
        <f t="shared" si="1"/>
        <v>#N/A</v>
      </c>
      <c r="AB68" s="339">
        <f t="shared" si="22"/>
      </c>
      <c r="AC68" s="339">
        <f t="shared" si="23"/>
      </c>
      <c r="AD68" s="255">
        <f t="shared" si="24"/>
      </c>
      <c r="AE68" s="256">
        <f t="shared" si="25"/>
      </c>
      <c r="AF68" s="256">
        <f t="shared" si="26"/>
      </c>
      <c r="AG68" s="255">
        <f t="shared" si="27"/>
      </c>
      <c r="AH68" s="255">
        <f t="shared" si="2"/>
      </c>
      <c r="AI68" s="255">
        <f t="shared" si="28"/>
      </c>
      <c r="AJ68" s="255">
        <f t="shared" si="29"/>
      </c>
      <c r="AK68" s="255">
        <f t="shared" si="3"/>
      </c>
      <c r="AL68" s="255">
        <f t="shared" si="4"/>
      </c>
      <c r="AM68" s="120">
        <f ca="1" t="shared" si="46"/>
        <v>0</v>
      </c>
      <c r="AN68" s="120" t="e">
        <f t="shared" si="6"/>
        <v>#N/A</v>
      </c>
      <c r="AO68" s="120">
        <f>ROWS($AO$4:AO68)-1</f>
        <v>64</v>
      </c>
      <c r="AP68" s="255" t="e">
        <f>AN68-AO68</f>
        <v>#N/A</v>
      </c>
      <c r="AQ68" s="120" t="e">
        <f t="shared" si="8"/>
        <v>#N/A</v>
      </c>
      <c r="AR68" s="120" t="e">
        <f t="shared" si="41"/>
        <v>#N/A</v>
      </c>
      <c r="AS68" s="121">
        <f t="shared" si="48"/>
        <v>1</v>
      </c>
      <c r="AT68" s="120" t="str">
        <f t="shared" si="49"/>
        <v> </v>
      </c>
      <c r="AU68" s="120" t="str">
        <f t="shared" si="50"/>
        <v> </v>
      </c>
      <c r="AV68" s="120" t="e">
        <f t="shared" si="13"/>
        <v>#N/A</v>
      </c>
      <c r="AW68" s="120" t="e">
        <f t="shared" si="14"/>
        <v>#N/A</v>
      </c>
      <c r="AX68" s="120">
        <f t="shared" si="15"/>
      </c>
      <c r="AY68" s="120" t="e">
        <f t="shared" si="16"/>
        <v>#N/A</v>
      </c>
      <c r="AZ68" s="120" t="e">
        <f>VLOOKUP(AY68,'排出係数表'!$A$4:$C$202,2,FALSE)</f>
        <v>#N/A</v>
      </c>
      <c r="BA68" s="120" t="e">
        <f t="shared" si="17"/>
        <v>#N/A</v>
      </c>
      <c r="BB68" s="120" t="e">
        <f>VLOOKUP(AY68,'排出係数表'!$A$4:$C$202,3,FALSE)</f>
        <v>#N/A</v>
      </c>
      <c r="BC68" s="120" t="e">
        <f t="shared" si="18"/>
        <v>#N/A</v>
      </c>
      <c r="BD68" s="120">
        <f t="shared" si="30"/>
        <v>1</v>
      </c>
      <c r="BE68" s="122">
        <f t="shared" si="19"/>
      </c>
      <c r="BF68" s="123" t="e">
        <f t="shared" si="51"/>
        <v>#VALUE!</v>
      </c>
      <c r="BG68" s="122">
        <f t="shared" si="35"/>
      </c>
      <c r="BH68" s="120" t="e">
        <f t="shared" si="36"/>
        <v>#VALUE!</v>
      </c>
      <c r="BI68" s="120" t="e">
        <f t="shared" si="37"/>
        <v>#VALUE!</v>
      </c>
      <c r="BJ68" s="122" t="e">
        <f>VLOOKUP(AY68,'排出係数表'!$A$4:$D$202,4)</f>
        <v>#N/A</v>
      </c>
      <c r="BK68" s="257">
        <f t="shared" si="38"/>
      </c>
    </row>
    <row r="69" spans="1:63" s="124" customFormat="1" ht="13.5" customHeight="1">
      <c r="A69" s="120"/>
      <c r="B69" s="120"/>
      <c r="C69" s="155"/>
      <c r="D69" s="155"/>
      <c r="E69" s="155"/>
      <c r="F69" s="155"/>
      <c r="G69" s="156"/>
      <c r="H69" s="157"/>
      <c r="I69" s="155"/>
      <c r="J69" s="155"/>
      <c r="K69" s="158"/>
      <c r="L69" s="159"/>
      <c r="M69" s="244"/>
      <c r="N69" s="155"/>
      <c r="O69" s="345">
        <f t="shared" si="21"/>
      </c>
      <c r="P69" s="345">
        <f aca="true" t="shared" si="52" ref="P69:P132">IF(ISBLANK(J69)=TRUE,"",IF(AW69="メ","要確認",IF(ISNUMBER(BB69*BC69)=TRUE,BB69*BC69,"要確認")))</f>
      </c>
      <c r="Q69" s="508"/>
      <c r="R69" s="346"/>
      <c r="S69" s="347"/>
      <c r="T69" s="348"/>
      <c r="U69" s="347"/>
      <c r="V69" s="348"/>
      <c r="W69" s="347"/>
      <c r="X69" s="348"/>
      <c r="Y69" s="347"/>
      <c r="Z69" s="348"/>
      <c r="AA69" s="340" t="e">
        <f aca="true" t="shared" si="53" ref="AA69:AA132">IF(AND(BJ69="否",T69&lt;&gt;"廃止",V69&lt;&gt;"廃止",X69&lt;&gt;"廃止",Z69&lt;&gt;"廃止"),IF(OR(AND(OR(LEFT(F69,1)="1",LEFT(F69,1)="4"),BK69&lt;"199704"),AND(LEFT(F69,1)="2",BK69&lt;"199804"),AND(LEFT(F69,1)="3",I69&gt;6000,BK69&lt;"199404"),AND(LEFT(F69,1)="3",I69&lt;=6000,BK69&lt;"199604"),AND(OR(LEFT(F69,1)="5",LEFT(F69,1)="6",LEFT(F69,1)="7",LEFT(F69,1)="8"),BK69&lt;"199604")),"★",""),"")</f>
        <v>#N/A</v>
      </c>
      <c r="AB69" s="339">
        <f t="shared" si="22"/>
      </c>
      <c r="AC69" s="339">
        <f t="shared" si="23"/>
      </c>
      <c r="AD69" s="255">
        <f t="shared" si="24"/>
      </c>
      <c r="AE69" s="256">
        <f t="shared" si="25"/>
      </c>
      <c r="AF69" s="256">
        <f t="shared" si="26"/>
      </c>
      <c r="AG69" s="255">
        <f t="shared" si="27"/>
      </c>
      <c r="AH69" s="255">
        <f aca="true" t="shared" si="54" ref="AH69:AH132">IF(J69="","",LOOKUP($F$1,実績報告年度,$L$336:$L$339))</f>
      </c>
      <c r="AI69" s="255">
        <f t="shared" si="28"/>
      </c>
      <c r="AJ69" s="255">
        <f t="shared" si="29"/>
      </c>
      <c r="AK69" s="255">
        <f aca="true" t="shared" si="55" ref="AK69:AK132">IF(J69="","",IF(AND((AH69&gt;=AG69),(AH69&lt;=AI69)),1,0))</f>
      </c>
      <c r="AL69" s="255">
        <f aca="true" t="shared" si="56" ref="AL69:AL132">IF(J69="","",IF(AND((AH69&gt;=AG69),(AH69&lt;AI69)),1,0))</f>
      </c>
      <c r="AM69" s="120">
        <f ca="1" t="shared" si="46"/>
        <v>0</v>
      </c>
      <c r="AN69" s="120" t="e">
        <f aca="true" t="shared" si="57" ref="AN69:AN132">MATCH(AO69,$AM$5:$AM$304,0)</f>
        <v>#N/A</v>
      </c>
      <c r="AO69" s="120">
        <f>ROWS($AO$4:AO69)-1</f>
        <v>65</v>
      </c>
      <c r="AP69" s="255" t="e">
        <f aca="true" t="shared" si="58" ref="AP69:AP115">AN69-AO69</f>
        <v>#N/A</v>
      </c>
      <c r="AQ69" s="120" t="e">
        <f aca="true" t="shared" si="59" ref="AQ69:AQ132">LOOKUP(F69,種類,$L$307:$L$314)</f>
        <v>#N/A</v>
      </c>
      <c r="AR69" s="120" t="e">
        <f t="shared" si="41"/>
        <v>#N/A</v>
      </c>
      <c r="AS69" s="121">
        <f t="shared" si="48"/>
        <v>1</v>
      </c>
      <c r="AT69" s="120" t="str">
        <f t="shared" si="49"/>
        <v> </v>
      </c>
      <c r="AU69" s="120" t="str">
        <f t="shared" si="50"/>
        <v> </v>
      </c>
      <c r="AV69" s="120" t="e">
        <f aca="true" t="shared" si="60" ref="AV69:AV132">IF(AQ69="乗",0,IF(LEFT(F69,1)="4",0,IF(I69&lt;=1700,1,IF(I69&lt;=2500,2,IF(I69&lt;=3500,3,4)))))</f>
        <v>#N/A</v>
      </c>
      <c r="AW69" s="120" t="e">
        <f aca="true" t="shared" si="61" ref="AW69:AW132">LOOKUP(J69,燃料,$L$317:$L$333)</f>
        <v>#N/A</v>
      </c>
      <c r="AX69" s="120">
        <f aca="true" t="shared" si="62" ref="AX69:AX132">IF(ISERROR(SEARCH("-",ASC(G69),1))=TRUE,UPPER(ASC(G69)),UPPER(LEFT(ASC(G69),SEARCH("-",ASC(G69),1)-1)))</f>
      </c>
      <c r="AY69" s="120" t="e">
        <f aca="true" t="shared" si="63" ref="AY69:AY132">IF(AW69="電","電",CONCATENATE(AQ69,AV69,AW69,AX69))</f>
        <v>#N/A</v>
      </c>
      <c r="AZ69" s="120" t="e">
        <f>VLOOKUP(AY69,'排出係数表'!$A$4:$C$202,2,FALSE)</f>
        <v>#N/A</v>
      </c>
      <c r="BA69" s="120" t="e">
        <f aca="true" t="shared" si="64" ref="BA69:BA132">IF(OR(AND(LEFT(AX69,1)="U",AX69&lt;&gt;"U"),AND(LEFT(AX69,1)="L",AX69&lt;&gt;"L"),AND(LEFT(AX69,1)="T",AX69&lt;&gt;"T"),AND(LEFT(AX69,1)="Z",AX69&lt;&gt;"Z"),AND(LEFT(AX69,1)="Y",AX69&lt;&gt;"Y"),AND(LEFT(AX69,1)="X",AX69&lt;&gt;"X")),1,LOOKUP(J69,燃料,$M$317:$M$333))</f>
        <v>#N/A</v>
      </c>
      <c r="BB69" s="120" t="e">
        <f>VLOOKUP(AY69,'排出係数表'!$A$4:$C$202,3,FALSE)</f>
        <v>#N/A</v>
      </c>
      <c r="BC69" s="120" t="e">
        <f aca="true" t="shared" si="65" ref="BC69:BC132">LOOKUP(J69,燃料,$N$317:$N$333)</f>
        <v>#N/A</v>
      </c>
      <c r="BD69" s="120">
        <f t="shared" si="30"/>
        <v>1</v>
      </c>
      <c r="BE69" s="122">
        <f aca="true" t="shared" si="66" ref="BE69:BE132">IF(OR(AL69="",AL69=0),"",C69&amp;LEFT(F69,1)&amp;AT69)</f>
      </c>
      <c r="BF69" s="123" t="e">
        <f t="shared" si="51"/>
        <v>#VALUE!</v>
      </c>
      <c r="BG69" s="122">
        <f t="shared" si="35"/>
      </c>
      <c r="BH69" s="120" t="e">
        <f t="shared" si="36"/>
        <v>#VALUE!</v>
      </c>
      <c r="BI69" s="120" t="e">
        <f t="shared" si="37"/>
        <v>#VALUE!</v>
      </c>
      <c r="BJ69" s="122" t="e">
        <f>VLOOKUP(AY69,'排出係数表'!$A$4:$D$202,4)</f>
        <v>#N/A</v>
      </c>
      <c r="BK69" s="257">
        <f t="shared" si="38"/>
      </c>
    </row>
    <row r="70" spans="1:63" s="124" customFormat="1" ht="13.5" customHeight="1">
      <c r="A70" s="120"/>
      <c r="B70" s="120"/>
      <c r="C70" s="155"/>
      <c r="D70" s="155"/>
      <c r="E70" s="155"/>
      <c r="F70" s="155"/>
      <c r="G70" s="156"/>
      <c r="H70" s="157"/>
      <c r="I70" s="155"/>
      <c r="J70" s="155"/>
      <c r="K70" s="158"/>
      <c r="L70" s="159"/>
      <c r="M70" s="244"/>
      <c r="N70" s="155"/>
      <c r="O70" s="345">
        <f aca="true" t="shared" si="67" ref="O70:O133">IF(ISBLANK(J70)=TRUE,"",IF(OR(AW70="メ",M70="有"),"要確認",IF(ISNUMBER(AZ70*BA70)=TRUE,AZ70*BA70,"要確認")))</f>
      </c>
      <c r="P70" s="345">
        <f t="shared" si="52"/>
      </c>
      <c r="Q70" s="508"/>
      <c r="R70" s="346"/>
      <c r="S70" s="347"/>
      <c r="T70" s="348"/>
      <c r="U70" s="347"/>
      <c r="V70" s="348"/>
      <c r="W70" s="347"/>
      <c r="X70" s="348"/>
      <c r="Y70" s="347"/>
      <c r="Z70" s="348"/>
      <c r="AA70" s="340" t="e">
        <f t="shared" si="53"/>
        <v>#N/A</v>
      </c>
      <c r="AB70" s="339">
        <f aca="true" t="shared" si="68" ref="AB70:AB133">IF(OR(AK70="",AK70=0),"",O70)</f>
      </c>
      <c r="AC70" s="339">
        <f aca="true" t="shared" si="69" ref="AC70:AC133">IF(P70="要確認",P70,IF(OR(AK70="",AK70=0),"",P70*BD70))</f>
      </c>
      <c r="AD70" s="255">
        <f aca="true" t="shared" si="70" ref="AD70:AD133">IF(AND(AK70=1,AJ70&lt;&gt;1),IF(AH70=14,R70,(IF(AH70=15,U70-S70,(IF(AH70=16,W70-U70,IF(AH70=17,Y70-W70,"")))))),"")</f>
      </c>
      <c r="AE70" s="256">
        <f aca="true" t="shared" si="71" ref="AE70:AE133">IF(O70="要確認","",IF(OR(AK70="",AK70=0,AJ70=1),"",O70*AS70*AD70/1000))</f>
      </c>
      <c r="AF70" s="256">
        <f aca="true" t="shared" si="72" ref="AF70:AF133">IF(P70="要確認","",IF(OR(AK70="",AK70=0,AJ70=1),"",P70*BD70*AS70*AD70/1000))</f>
      </c>
      <c r="AG70" s="255">
        <f aca="true" t="shared" si="73" ref="AG70:AG133">IF(J70="","",IF(OR(T70="新規",T70="新規廃止"),14,IF(OR(V70="新規",V70="新規廃止"),15,IF(OR(X70="新規",X70="新規廃止"),16,IF(OR(Z70="新規",Z70="新規廃止"),17,13)))))</f>
      </c>
      <c r="AH70" s="255">
        <f t="shared" si="54"/>
      </c>
      <c r="AI70" s="255">
        <f aca="true" t="shared" si="74" ref="AI70:AI133">IF(J70="","",IF(OR(T70="廃止",T70="新規廃止"),14,IF(OR(V70="廃止",V70="新規廃止"),15,IF(OR(X70="廃止",X70="新規廃止"),16,IF(OR(Z70="廃止",Z70="新規廃止"),17,18)))))</f>
      </c>
      <c r="AJ70" s="255">
        <f aca="true" t="shared" si="75" ref="AJ70:AJ133">IF(OR(AND(AH70=14,AK70=1,OR(R70="",S70="")),AND(AH70=15,AK70=1,OR(U70="",S70&gt;U70)),AND(AH70=16,AK70=1,OR(W70="",U70&gt;W70)),AND(AH70=17,AK70=1,OR(Y70="",W70&gt;Y70))),1,"")</f>
      </c>
      <c r="AK70" s="255">
        <f t="shared" si="55"/>
      </c>
      <c r="AL70" s="255">
        <f t="shared" si="56"/>
      </c>
      <c r="AM70" s="120">
        <f ca="1" t="shared" si="46"/>
        <v>0</v>
      </c>
      <c r="AN70" s="120" t="e">
        <f t="shared" si="57"/>
        <v>#N/A</v>
      </c>
      <c r="AO70" s="120">
        <f>ROWS($AO$4:AO70)-1</f>
        <v>66</v>
      </c>
      <c r="AP70" s="255" t="e">
        <f t="shared" si="58"/>
        <v>#N/A</v>
      </c>
      <c r="AQ70" s="120" t="e">
        <f t="shared" si="59"/>
        <v>#N/A</v>
      </c>
      <c r="AR70" s="120" t="e">
        <f t="shared" si="41"/>
        <v>#N/A</v>
      </c>
      <c r="AS70" s="121">
        <f t="shared" si="48"/>
        <v>1</v>
      </c>
      <c r="AT70" s="120" t="str">
        <f t="shared" si="49"/>
        <v> </v>
      </c>
      <c r="AU70" s="120" t="str">
        <f t="shared" si="50"/>
        <v> </v>
      </c>
      <c r="AV70" s="120" t="e">
        <f t="shared" si="60"/>
        <v>#N/A</v>
      </c>
      <c r="AW70" s="120" t="e">
        <f t="shared" si="61"/>
        <v>#N/A</v>
      </c>
      <c r="AX70" s="120">
        <f t="shared" si="62"/>
      </c>
      <c r="AY70" s="120" t="e">
        <f t="shared" si="63"/>
        <v>#N/A</v>
      </c>
      <c r="AZ70" s="120" t="e">
        <f>VLOOKUP(AY70,'排出係数表'!$A$4:$C$202,2,FALSE)</f>
        <v>#N/A</v>
      </c>
      <c r="BA70" s="120" t="e">
        <f t="shared" si="64"/>
        <v>#N/A</v>
      </c>
      <c r="BB70" s="120" t="e">
        <f>VLOOKUP(AY70,'排出係数表'!$A$4:$C$202,3,FALSE)</f>
        <v>#N/A</v>
      </c>
      <c r="BC70" s="120" t="e">
        <f t="shared" si="65"/>
        <v>#N/A</v>
      </c>
      <c r="BD70" s="120">
        <f aca="true" t="shared" si="76" ref="BD70:BD133">IF(ISBLANK(N70),1,IF(RIGHT(LEFT($F$1,4),2)&gt;=LEFT(N70,2),(IF(ISERROR(VLOOKUP(AX70,$H$307:$I$327,2,FALSE)),0.7,VLOOKUP(AX70,$H$307:$I$327,2,FALSE))),1))</f>
        <v>1</v>
      </c>
      <c r="BE70" s="122">
        <f t="shared" si="66"/>
      </c>
      <c r="BF70" s="123" t="e">
        <f t="shared" si="51"/>
        <v>#VALUE!</v>
      </c>
      <c r="BG70" s="122">
        <f t="shared" si="35"/>
      </c>
      <c r="BH70" s="120" t="e">
        <f t="shared" si="36"/>
        <v>#VALUE!</v>
      </c>
      <c r="BI70" s="120" t="e">
        <f t="shared" si="37"/>
        <v>#VALUE!</v>
      </c>
      <c r="BJ70" s="122" t="e">
        <f>VLOOKUP(AY70,'排出係数表'!$A$4:$D$202,4)</f>
        <v>#N/A</v>
      </c>
      <c r="BK70" s="257">
        <f t="shared" si="38"/>
      </c>
    </row>
    <row r="71" spans="1:63" s="124" customFormat="1" ht="13.5" customHeight="1">
      <c r="A71" s="120"/>
      <c r="B71" s="120"/>
      <c r="C71" s="155"/>
      <c r="D71" s="155"/>
      <c r="E71" s="155"/>
      <c r="F71" s="155"/>
      <c r="G71" s="156"/>
      <c r="H71" s="157"/>
      <c r="I71" s="155"/>
      <c r="J71" s="155"/>
      <c r="K71" s="158"/>
      <c r="L71" s="159"/>
      <c r="M71" s="244"/>
      <c r="N71" s="155"/>
      <c r="O71" s="345">
        <f t="shared" si="67"/>
      </c>
      <c r="P71" s="345">
        <f t="shared" si="52"/>
      </c>
      <c r="Q71" s="508"/>
      <c r="R71" s="346"/>
      <c r="S71" s="347"/>
      <c r="T71" s="348"/>
      <c r="U71" s="347"/>
      <c r="V71" s="348"/>
      <c r="W71" s="347"/>
      <c r="X71" s="348"/>
      <c r="Y71" s="347"/>
      <c r="Z71" s="348"/>
      <c r="AA71" s="340" t="e">
        <f t="shared" si="53"/>
        <v>#N/A</v>
      </c>
      <c r="AB71" s="339">
        <f t="shared" si="68"/>
      </c>
      <c r="AC71" s="339">
        <f t="shared" si="69"/>
      </c>
      <c r="AD71" s="255">
        <f t="shared" si="70"/>
      </c>
      <c r="AE71" s="256">
        <f t="shared" si="71"/>
      </c>
      <c r="AF71" s="256">
        <f t="shared" si="72"/>
      </c>
      <c r="AG71" s="255">
        <f t="shared" si="73"/>
      </c>
      <c r="AH71" s="255">
        <f t="shared" si="54"/>
      </c>
      <c r="AI71" s="255">
        <f t="shared" si="74"/>
      </c>
      <c r="AJ71" s="255">
        <f t="shared" si="75"/>
      </c>
      <c r="AK71" s="255">
        <f t="shared" si="55"/>
      </c>
      <c r="AL71" s="255">
        <f t="shared" si="56"/>
      </c>
      <c r="AM71" s="120">
        <f ca="1" t="shared" si="46"/>
        <v>0</v>
      </c>
      <c r="AN71" s="120" t="e">
        <f t="shared" si="57"/>
        <v>#N/A</v>
      </c>
      <c r="AO71" s="120">
        <f>ROWS($AO$4:AO71)-1</f>
        <v>67</v>
      </c>
      <c r="AP71" s="255" t="e">
        <f t="shared" si="58"/>
        <v>#N/A</v>
      </c>
      <c r="AQ71" s="120" t="e">
        <f t="shared" si="59"/>
        <v>#N/A</v>
      </c>
      <c r="AR71" s="120" t="e">
        <f t="shared" si="41"/>
        <v>#N/A</v>
      </c>
      <c r="AS71" s="121">
        <f t="shared" si="48"/>
        <v>1</v>
      </c>
      <c r="AT71" s="120" t="str">
        <f t="shared" si="49"/>
        <v> </v>
      </c>
      <c r="AU71" s="120" t="str">
        <f t="shared" si="50"/>
        <v> </v>
      </c>
      <c r="AV71" s="120" t="e">
        <f t="shared" si="60"/>
        <v>#N/A</v>
      </c>
      <c r="AW71" s="120" t="e">
        <f t="shared" si="61"/>
        <v>#N/A</v>
      </c>
      <c r="AX71" s="120">
        <f t="shared" si="62"/>
      </c>
      <c r="AY71" s="120" t="e">
        <f t="shared" si="63"/>
        <v>#N/A</v>
      </c>
      <c r="AZ71" s="120" t="e">
        <f>VLOOKUP(AY71,'排出係数表'!$A$4:$C$202,2,FALSE)</f>
        <v>#N/A</v>
      </c>
      <c r="BA71" s="120" t="e">
        <f t="shared" si="64"/>
        <v>#N/A</v>
      </c>
      <c r="BB71" s="120" t="e">
        <f>VLOOKUP(AY71,'排出係数表'!$A$4:$C$202,3,FALSE)</f>
        <v>#N/A</v>
      </c>
      <c r="BC71" s="120" t="e">
        <f t="shared" si="65"/>
        <v>#N/A</v>
      </c>
      <c r="BD71" s="120">
        <f t="shared" si="76"/>
        <v>1</v>
      </c>
      <c r="BE71" s="122">
        <f t="shared" si="66"/>
      </c>
      <c r="BF71" s="123" t="e">
        <f t="shared" si="51"/>
        <v>#VALUE!</v>
      </c>
      <c r="BG71" s="122">
        <f t="shared" si="35"/>
      </c>
      <c r="BH71" s="120" t="e">
        <f t="shared" si="36"/>
        <v>#VALUE!</v>
      </c>
      <c r="BI71" s="120" t="e">
        <f t="shared" si="37"/>
        <v>#VALUE!</v>
      </c>
      <c r="BJ71" s="122" t="e">
        <f>VLOOKUP(AY71,'排出係数表'!$A$4:$D$202,4)</f>
        <v>#N/A</v>
      </c>
      <c r="BK71" s="257">
        <f t="shared" si="38"/>
      </c>
    </row>
    <row r="72" spans="1:63" s="124" customFormat="1" ht="13.5" customHeight="1">
      <c r="A72" s="120"/>
      <c r="B72" s="120"/>
      <c r="C72" s="155"/>
      <c r="D72" s="155"/>
      <c r="E72" s="155"/>
      <c r="F72" s="155"/>
      <c r="G72" s="156"/>
      <c r="H72" s="157"/>
      <c r="I72" s="155"/>
      <c r="J72" s="155"/>
      <c r="K72" s="158"/>
      <c r="L72" s="159"/>
      <c r="M72" s="244"/>
      <c r="N72" s="155"/>
      <c r="O72" s="345">
        <f t="shared" si="67"/>
      </c>
      <c r="P72" s="345">
        <f t="shared" si="52"/>
      </c>
      <c r="Q72" s="508"/>
      <c r="R72" s="346"/>
      <c r="S72" s="347"/>
      <c r="T72" s="348"/>
      <c r="U72" s="347"/>
      <c r="V72" s="348"/>
      <c r="W72" s="347"/>
      <c r="X72" s="348"/>
      <c r="Y72" s="347"/>
      <c r="Z72" s="348"/>
      <c r="AA72" s="340" t="e">
        <f t="shared" si="53"/>
        <v>#N/A</v>
      </c>
      <c r="AB72" s="339">
        <f t="shared" si="68"/>
      </c>
      <c r="AC72" s="339">
        <f t="shared" si="69"/>
      </c>
      <c r="AD72" s="255">
        <f t="shared" si="70"/>
      </c>
      <c r="AE72" s="256">
        <f t="shared" si="71"/>
      </c>
      <c r="AF72" s="256">
        <f t="shared" si="72"/>
      </c>
      <c r="AG72" s="255">
        <f t="shared" si="73"/>
      </c>
      <c r="AH72" s="255">
        <f t="shared" si="54"/>
      </c>
      <c r="AI72" s="255">
        <f t="shared" si="74"/>
      </c>
      <c r="AJ72" s="255">
        <f t="shared" si="75"/>
      </c>
      <c r="AK72" s="255">
        <f t="shared" si="55"/>
      </c>
      <c r="AL72" s="255">
        <f t="shared" si="56"/>
      </c>
      <c r="AM72" s="120">
        <f ca="1" t="shared" si="46"/>
        <v>0</v>
      </c>
      <c r="AN72" s="120" t="e">
        <f t="shared" si="57"/>
        <v>#N/A</v>
      </c>
      <c r="AO72" s="120">
        <f>ROWS($AO$4:AO72)-1</f>
        <v>68</v>
      </c>
      <c r="AP72" s="255" t="e">
        <f t="shared" si="58"/>
        <v>#N/A</v>
      </c>
      <c r="AQ72" s="120" t="e">
        <f t="shared" si="59"/>
        <v>#N/A</v>
      </c>
      <c r="AR72" s="120" t="e">
        <f t="shared" si="41"/>
        <v>#N/A</v>
      </c>
      <c r="AS72" s="121">
        <f t="shared" si="48"/>
        <v>1</v>
      </c>
      <c r="AT72" s="120" t="str">
        <f t="shared" si="49"/>
        <v> </v>
      </c>
      <c r="AU72" s="120" t="str">
        <f t="shared" si="50"/>
        <v> </v>
      </c>
      <c r="AV72" s="120" t="e">
        <f t="shared" si="60"/>
        <v>#N/A</v>
      </c>
      <c r="AW72" s="120" t="e">
        <f t="shared" si="61"/>
        <v>#N/A</v>
      </c>
      <c r="AX72" s="120">
        <f t="shared" si="62"/>
      </c>
      <c r="AY72" s="120" t="e">
        <f t="shared" si="63"/>
        <v>#N/A</v>
      </c>
      <c r="AZ72" s="120" t="e">
        <f>VLOOKUP(AY72,'排出係数表'!$A$4:$C$202,2,FALSE)</f>
        <v>#N/A</v>
      </c>
      <c r="BA72" s="120" t="e">
        <f t="shared" si="64"/>
        <v>#N/A</v>
      </c>
      <c r="BB72" s="120" t="e">
        <f>VLOOKUP(AY72,'排出係数表'!$A$4:$C$202,3,FALSE)</f>
        <v>#N/A</v>
      </c>
      <c r="BC72" s="120" t="e">
        <f t="shared" si="65"/>
        <v>#N/A</v>
      </c>
      <c r="BD72" s="120">
        <f t="shared" si="76"/>
        <v>1</v>
      </c>
      <c r="BE72" s="122">
        <f t="shared" si="66"/>
      </c>
      <c r="BF72" s="123" t="e">
        <f t="shared" si="51"/>
        <v>#VALUE!</v>
      </c>
      <c r="BG72" s="122">
        <f t="shared" si="35"/>
      </c>
      <c r="BH72" s="120" t="e">
        <f t="shared" si="36"/>
        <v>#VALUE!</v>
      </c>
      <c r="BI72" s="120" t="e">
        <f t="shared" si="37"/>
        <v>#VALUE!</v>
      </c>
      <c r="BJ72" s="122" t="e">
        <f>VLOOKUP(AY72,'排出係数表'!$A$4:$D$202,4)</f>
        <v>#N/A</v>
      </c>
      <c r="BK72" s="257">
        <f t="shared" si="38"/>
      </c>
    </row>
    <row r="73" spans="1:63" s="124" customFormat="1" ht="13.5" customHeight="1">
      <c r="A73" s="120"/>
      <c r="B73" s="120"/>
      <c r="C73" s="155"/>
      <c r="D73" s="155"/>
      <c r="E73" s="155"/>
      <c r="F73" s="155"/>
      <c r="G73" s="156"/>
      <c r="H73" s="157"/>
      <c r="I73" s="155"/>
      <c r="J73" s="155"/>
      <c r="K73" s="158"/>
      <c r="L73" s="159"/>
      <c r="M73" s="244"/>
      <c r="N73" s="155"/>
      <c r="O73" s="345">
        <f t="shared" si="67"/>
      </c>
      <c r="P73" s="345">
        <f t="shared" si="52"/>
      </c>
      <c r="Q73" s="508"/>
      <c r="R73" s="346"/>
      <c r="S73" s="347"/>
      <c r="T73" s="348"/>
      <c r="U73" s="347"/>
      <c r="V73" s="348"/>
      <c r="W73" s="347"/>
      <c r="X73" s="348"/>
      <c r="Y73" s="347"/>
      <c r="Z73" s="348"/>
      <c r="AA73" s="340" t="e">
        <f t="shared" si="53"/>
        <v>#N/A</v>
      </c>
      <c r="AB73" s="339">
        <f t="shared" si="68"/>
      </c>
      <c r="AC73" s="339">
        <f t="shared" si="69"/>
      </c>
      <c r="AD73" s="255">
        <f t="shared" si="70"/>
      </c>
      <c r="AE73" s="256">
        <f t="shared" si="71"/>
      </c>
      <c r="AF73" s="256">
        <f t="shared" si="72"/>
      </c>
      <c r="AG73" s="255">
        <f t="shared" si="73"/>
      </c>
      <c r="AH73" s="255">
        <f t="shared" si="54"/>
      </c>
      <c r="AI73" s="255">
        <f t="shared" si="74"/>
      </c>
      <c r="AJ73" s="255">
        <f t="shared" si="75"/>
      </c>
      <c r="AK73" s="255">
        <f t="shared" si="55"/>
      </c>
      <c r="AL73" s="255">
        <f t="shared" si="56"/>
      </c>
      <c r="AM73" s="120">
        <f ca="1" t="shared" si="46"/>
        <v>0</v>
      </c>
      <c r="AN73" s="120" t="e">
        <f t="shared" si="57"/>
        <v>#N/A</v>
      </c>
      <c r="AO73" s="120">
        <f>ROWS($AO$4:AO73)-1</f>
        <v>69</v>
      </c>
      <c r="AP73" s="255" t="e">
        <f t="shared" si="58"/>
        <v>#N/A</v>
      </c>
      <c r="AQ73" s="120" t="e">
        <f t="shared" si="59"/>
        <v>#N/A</v>
      </c>
      <c r="AR73" s="120" t="e">
        <f t="shared" si="41"/>
        <v>#N/A</v>
      </c>
      <c r="AS73" s="121">
        <f t="shared" si="48"/>
        <v>1</v>
      </c>
      <c r="AT73" s="120" t="str">
        <f t="shared" si="49"/>
        <v> </v>
      </c>
      <c r="AU73" s="120" t="str">
        <f t="shared" si="50"/>
        <v> </v>
      </c>
      <c r="AV73" s="120" t="e">
        <f t="shared" si="60"/>
        <v>#N/A</v>
      </c>
      <c r="AW73" s="120" t="e">
        <f t="shared" si="61"/>
        <v>#N/A</v>
      </c>
      <c r="AX73" s="120">
        <f t="shared" si="62"/>
      </c>
      <c r="AY73" s="120" t="e">
        <f t="shared" si="63"/>
        <v>#N/A</v>
      </c>
      <c r="AZ73" s="120" t="e">
        <f>VLOOKUP(AY73,'排出係数表'!$A$4:$C$202,2,FALSE)</f>
        <v>#N/A</v>
      </c>
      <c r="BA73" s="120" t="e">
        <f t="shared" si="64"/>
        <v>#N/A</v>
      </c>
      <c r="BB73" s="120" t="e">
        <f>VLOOKUP(AY73,'排出係数表'!$A$4:$C$202,3,FALSE)</f>
        <v>#N/A</v>
      </c>
      <c r="BC73" s="120" t="e">
        <f t="shared" si="65"/>
        <v>#N/A</v>
      </c>
      <c r="BD73" s="120">
        <f t="shared" si="76"/>
        <v>1</v>
      </c>
      <c r="BE73" s="122">
        <f t="shared" si="66"/>
      </c>
      <c r="BF73" s="123" t="e">
        <f t="shared" si="51"/>
        <v>#VALUE!</v>
      </c>
      <c r="BG73" s="122">
        <f t="shared" si="35"/>
      </c>
      <c r="BH73" s="120" t="e">
        <f t="shared" si="36"/>
        <v>#VALUE!</v>
      </c>
      <c r="BI73" s="120" t="e">
        <f t="shared" si="37"/>
        <v>#VALUE!</v>
      </c>
      <c r="BJ73" s="122" t="e">
        <f>VLOOKUP(AY73,'排出係数表'!$A$4:$D$202,4)</f>
        <v>#N/A</v>
      </c>
      <c r="BK73" s="257">
        <f t="shared" si="38"/>
      </c>
    </row>
    <row r="74" spans="1:63" s="124" customFormat="1" ht="13.5" customHeight="1">
      <c r="A74" s="120"/>
      <c r="B74" s="120"/>
      <c r="C74" s="155"/>
      <c r="D74" s="155"/>
      <c r="E74" s="155"/>
      <c r="F74" s="155"/>
      <c r="G74" s="156"/>
      <c r="H74" s="157"/>
      <c r="I74" s="155"/>
      <c r="J74" s="155"/>
      <c r="K74" s="158"/>
      <c r="L74" s="159"/>
      <c r="M74" s="244"/>
      <c r="N74" s="155"/>
      <c r="O74" s="345">
        <f t="shared" si="67"/>
      </c>
      <c r="P74" s="345">
        <f t="shared" si="52"/>
      </c>
      <c r="Q74" s="508"/>
      <c r="R74" s="346"/>
      <c r="S74" s="347"/>
      <c r="T74" s="348"/>
      <c r="U74" s="347"/>
      <c r="V74" s="348"/>
      <c r="W74" s="347"/>
      <c r="X74" s="348"/>
      <c r="Y74" s="347"/>
      <c r="Z74" s="348"/>
      <c r="AA74" s="340" t="e">
        <f t="shared" si="53"/>
        <v>#N/A</v>
      </c>
      <c r="AB74" s="339">
        <f t="shared" si="68"/>
      </c>
      <c r="AC74" s="339">
        <f t="shared" si="69"/>
      </c>
      <c r="AD74" s="255">
        <f t="shared" si="70"/>
      </c>
      <c r="AE74" s="256">
        <f t="shared" si="71"/>
      </c>
      <c r="AF74" s="256">
        <f t="shared" si="72"/>
      </c>
      <c r="AG74" s="255">
        <f t="shared" si="73"/>
      </c>
      <c r="AH74" s="255">
        <f t="shared" si="54"/>
      </c>
      <c r="AI74" s="255">
        <f t="shared" si="74"/>
      </c>
      <c r="AJ74" s="255">
        <f t="shared" si="75"/>
      </c>
      <c r="AK74" s="255">
        <f t="shared" si="55"/>
      </c>
      <c r="AL74" s="255">
        <f t="shared" si="56"/>
      </c>
      <c r="AM74" s="120">
        <f ca="1" t="shared" si="46"/>
        <v>0</v>
      </c>
      <c r="AN74" s="120" t="e">
        <f t="shared" si="57"/>
        <v>#N/A</v>
      </c>
      <c r="AO74" s="120">
        <f>ROWS($AO$4:AO74)-1</f>
        <v>70</v>
      </c>
      <c r="AP74" s="255" t="e">
        <f t="shared" si="58"/>
        <v>#N/A</v>
      </c>
      <c r="AQ74" s="120" t="e">
        <f t="shared" si="59"/>
        <v>#N/A</v>
      </c>
      <c r="AR74" s="120" t="e">
        <f t="shared" si="41"/>
        <v>#N/A</v>
      </c>
      <c r="AS74" s="121">
        <f t="shared" si="48"/>
        <v>1</v>
      </c>
      <c r="AT74" s="120" t="str">
        <f t="shared" si="49"/>
        <v> </v>
      </c>
      <c r="AU74" s="120" t="str">
        <f t="shared" si="50"/>
        <v> </v>
      </c>
      <c r="AV74" s="120" t="e">
        <f t="shared" si="60"/>
        <v>#N/A</v>
      </c>
      <c r="AW74" s="120" t="e">
        <f t="shared" si="61"/>
        <v>#N/A</v>
      </c>
      <c r="AX74" s="120">
        <f t="shared" si="62"/>
      </c>
      <c r="AY74" s="120" t="e">
        <f t="shared" si="63"/>
        <v>#N/A</v>
      </c>
      <c r="AZ74" s="120" t="e">
        <f>VLOOKUP(AY74,'排出係数表'!$A$4:$C$202,2,FALSE)</f>
        <v>#N/A</v>
      </c>
      <c r="BA74" s="120" t="e">
        <f t="shared" si="64"/>
        <v>#N/A</v>
      </c>
      <c r="BB74" s="120" t="e">
        <f>VLOOKUP(AY74,'排出係数表'!$A$4:$C$202,3,FALSE)</f>
        <v>#N/A</v>
      </c>
      <c r="BC74" s="120" t="e">
        <f t="shared" si="65"/>
        <v>#N/A</v>
      </c>
      <c r="BD74" s="120">
        <f t="shared" si="76"/>
        <v>1</v>
      </c>
      <c r="BE74" s="122">
        <f t="shared" si="66"/>
      </c>
      <c r="BF74" s="123" t="e">
        <f t="shared" si="51"/>
        <v>#VALUE!</v>
      </c>
      <c r="BG74" s="122">
        <f t="shared" si="35"/>
      </c>
      <c r="BH74" s="120" t="e">
        <f t="shared" si="36"/>
        <v>#VALUE!</v>
      </c>
      <c r="BI74" s="120" t="e">
        <f t="shared" si="37"/>
        <v>#VALUE!</v>
      </c>
      <c r="BJ74" s="122" t="e">
        <f>VLOOKUP(AY74,'排出係数表'!$A$4:$D$202,4)</f>
        <v>#N/A</v>
      </c>
      <c r="BK74" s="257">
        <f t="shared" si="38"/>
      </c>
    </row>
    <row r="75" spans="1:63" s="124" customFormat="1" ht="13.5" customHeight="1">
      <c r="A75" s="120"/>
      <c r="B75" s="120"/>
      <c r="C75" s="155"/>
      <c r="D75" s="155"/>
      <c r="E75" s="155"/>
      <c r="F75" s="155"/>
      <c r="G75" s="156"/>
      <c r="H75" s="157"/>
      <c r="I75" s="155"/>
      <c r="J75" s="155"/>
      <c r="K75" s="158"/>
      <c r="L75" s="159"/>
      <c r="M75" s="244"/>
      <c r="N75" s="155"/>
      <c r="O75" s="345">
        <f t="shared" si="67"/>
      </c>
      <c r="P75" s="345">
        <f t="shared" si="52"/>
      </c>
      <c r="Q75" s="508"/>
      <c r="R75" s="346"/>
      <c r="S75" s="347"/>
      <c r="T75" s="348"/>
      <c r="U75" s="347"/>
      <c r="V75" s="348"/>
      <c r="W75" s="347"/>
      <c r="X75" s="348"/>
      <c r="Y75" s="347"/>
      <c r="Z75" s="348"/>
      <c r="AA75" s="340" t="e">
        <f t="shared" si="53"/>
        <v>#N/A</v>
      </c>
      <c r="AB75" s="339">
        <f t="shared" si="68"/>
      </c>
      <c r="AC75" s="339">
        <f t="shared" si="69"/>
      </c>
      <c r="AD75" s="255">
        <f t="shared" si="70"/>
      </c>
      <c r="AE75" s="256">
        <f t="shared" si="71"/>
      </c>
      <c r="AF75" s="256">
        <f t="shared" si="72"/>
      </c>
      <c r="AG75" s="255">
        <f t="shared" si="73"/>
      </c>
      <c r="AH75" s="255">
        <f t="shared" si="54"/>
      </c>
      <c r="AI75" s="255">
        <f t="shared" si="74"/>
      </c>
      <c r="AJ75" s="255">
        <f t="shared" si="75"/>
      </c>
      <c r="AK75" s="255">
        <f t="shared" si="55"/>
      </c>
      <c r="AL75" s="255">
        <f t="shared" si="56"/>
      </c>
      <c r="AM75" s="120">
        <f ca="1" t="shared" si="46"/>
        <v>0</v>
      </c>
      <c r="AN75" s="120" t="e">
        <f t="shared" si="57"/>
        <v>#N/A</v>
      </c>
      <c r="AO75" s="120">
        <f>ROWS($AO$4:AO75)-1</f>
        <v>71</v>
      </c>
      <c r="AP75" s="255" t="e">
        <f t="shared" si="58"/>
        <v>#N/A</v>
      </c>
      <c r="AQ75" s="120" t="e">
        <f t="shared" si="59"/>
        <v>#N/A</v>
      </c>
      <c r="AR75" s="120" t="e">
        <f t="shared" si="41"/>
        <v>#N/A</v>
      </c>
      <c r="AS75" s="121">
        <f t="shared" si="48"/>
        <v>1</v>
      </c>
      <c r="AT75" s="120" t="str">
        <f t="shared" si="49"/>
        <v> </v>
      </c>
      <c r="AU75" s="120" t="str">
        <f t="shared" si="50"/>
        <v> </v>
      </c>
      <c r="AV75" s="120" t="e">
        <f t="shared" si="60"/>
        <v>#N/A</v>
      </c>
      <c r="AW75" s="120" t="e">
        <f t="shared" si="61"/>
        <v>#N/A</v>
      </c>
      <c r="AX75" s="120">
        <f t="shared" si="62"/>
      </c>
      <c r="AY75" s="120" t="e">
        <f t="shared" si="63"/>
        <v>#N/A</v>
      </c>
      <c r="AZ75" s="120" t="e">
        <f>VLOOKUP(AY75,'排出係数表'!$A$4:$C$202,2,FALSE)</f>
        <v>#N/A</v>
      </c>
      <c r="BA75" s="120" t="e">
        <f t="shared" si="64"/>
        <v>#N/A</v>
      </c>
      <c r="BB75" s="120" t="e">
        <f>VLOOKUP(AY75,'排出係数表'!$A$4:$C$202,3,FALSE)</f>
        <v>#N/A</v>
      </c>
      <c r="BC75" s="120" t="e">
        <f t="shared" si="65"/>
        <v>#N/A</v>
      </c>
      <c r="BD75" s="120">
        <f t="shared" si="76"/>
        <v>1</v>
      </c>
      <c r="BE75" s="122">
        <f t="shared" si="66"/>
      </c>
      <c r="BF75" s="123" t="e">
        <f t="shared" si="51"/>
        <v>#VALUE!</v>
      </c>
      <c r="BG75" s="122">
        <f t="shared" si="35"/>
      </c>
      <c r="BH75" s="120" t="e">
        <f t="shared" si="36"/>
        <v>#VALUE!</v>
      </c>
      <c r="BI75" s="120" t="e">
        <f t="shared" si="37"/>
        <v>#VALUE!</v>
      </c>
      <c r="BJ75" s="122" t="e">
        <f>VLOOKUP(AY75,'排出係数表'!$A$4:$D$202,4)</f>
        <v>#N/A</v>
      </c>
      <c r="BK75" s="257">
        <f t="shared" si="38"/>
      </c>
    </row>
    <row r="76" spans="1:63" s="124" customFormat="1" ht="13.5" customHeight="1">
      <c r="A76" s="120"/>
      <c r="B76" s="120"/>
      <c r="C76" s="155"/>
      <c r="D76" s="155"/>
      <c r="E76" s="155"/>
      <c r="F76" s="155"/>
      <c r="G76" s="156"/>
      <c r="H76" s="157"/>
      <c r="I76" s="155"/>
      <c r="J76" s="155"/>
      <c r="K76" s="158"/>
      <c r="L76" s="159"/>
      <c r="M76" s="244"/>
      <c r="N76" s="155"/>
      <c r="O76" s="345">
        <f t="shared" si="67"/>
      </c>
      <c r="P76" s="345">
        <f t="shared" si="52"/>
      </c>
      <c r="Q76" s="508"/>
      <c r="R76" s="346"/>
      <c r="S76" s="347"/>
      <c r="T76" s="348"/>
      <c r="U76" s="347"/>
      <c r="V76" s="348"/>
      <c r="W76" s="347"/>
      <c r="X76" s="348"/>
      <c r="Y76" s="347"/>
      <c r="Z76" s="348"/>
      <c r="AA76" s="340" t="e">
        <f t="shared" si="53"/>
        <v>#N/A</v>
      </c>
      <c r="AB76" s="339">
        <f t="shared" si="68"/>
      </c>
      <c r="AC76" s="339">
        <f t="shared" si="69"/>
      </c>
      <c r="AD76" s="255">
        <f t="shared" si="70"/>
      </c>
      <c r="AE76" s="256">
        <f t="shared" si="71"/>
      </c>
      <c r="AF76" s="256">
        <f t="shared" si="72"/>
      </c>
      <c r="AG76" s="255">
        <f t="shared" si="73"/>
      </c>
      <c r="AH76" s="255">
        <f t="shared" si="54"/>
      </c>
      <c r="AI76" s="255">
        <f t="shared" si="74"/>
      </c>
      <c r="AJ76" s="255">
        <f t="shared" si="75"/>
      </c>
      <c r="AK76" s="255">
        <f t="shared" si="55"/>
      </c>
      <c r="AL76" s="255">
        <f t="shared" si="56"/>
      </c>
      <c r="AM76" s="120">
        <f ca="1" t="shared" si="46"/>
        <v>0</v>
      </c>
      <c r="AN76" s="120" t="e">
        <f t="shared" si="57"/>
        <v>#N/A</v>
      </c>
      <c r="AO76" s="120">
        <f>ROWS($AO$4:AO76)-1</f>
        <v>72</v>
      </c>
      <c r="AP76" s="255" t="e">
        <f t="shared" si="58"/>
        <v>#N/A</v>
      </c>
      <c r="AQ76" s="120" t="e">
        <f t="shared" si="59"/>
        <v>#N/A</v>
      </c>
      <c r="AR76" s="120" t="e">
        <f t="shared" si="41"/>
        <v>#N/A</v>
      </c>
      <c r="AS76" s="121">
        <f t="shared" si="48"/>
        <v>1</v>
      </c>
      <c r="AT76" s="120" t="str">
        <f t="shared" si="49"/>
        <v> </v>
      </c>
      <c r="AU76" s="120" t="str">
        <f t="shared" si="50"/>
        <v> </v>
      </c>
      <c r="AV76" s="120" t="e">
        <f t="shared" si="60"/>
        <v>#N/A</v>
      </c>
      <c r="AW76" s="120" t="e">
        <f t="shared" si="61"/>
        <v>#N/A</v>
      </c>
      <c r="AX76" s="120">
        <f t="shared" si="62"/>
      </c>
      <c r="AY76" s="120" t="e">
        <f t="shared" si="63"/>
        <v>#N/A</v>
      </c>
      <c r="AZ76" s="120" t="e">
        <f>VLOOKUP(AY76,'排出係数表'!$A$4:$C$202,2,FALSE)</f>
        <v>#N/A</v>
      </c>
      <c r="BA76" s="120" t="e">
        <f t="shared" si="64"/>
        <v>#N/A</v>
      </c>
      <c r="BB76" s="120" t="e">
        <f>VLOOKUP(AY76,'排出係数表'!$A$4:$C$202,3,FALSE)</f>
        <v>#N/A</v>
      </c>
      <c r="BC76" s="120" t="e">
        <f t="shared" si="65"/>
        <v>#N/A</v>
      </c>
      <c r="BD76" s="120">
        <f t="shared" si="76"/>
        <v>1</v>
      </c>
      <c r="BE76" s="122">
        <f t="shared" si="66"/>
      </c>
      <c r="BF76" s="123" t="e">
        <f t="shared" si="51"/>
        <v>#VALUE!</v>
      </c>
      <c r="BG76" s="122">
        <f t="shared" si="35"/>
      </c>
      <c r="BH76" s="120" t="e">
        <f t="shared" si="36"/>
        <v>#VALUE!</v>
      </c>
      <c r="BI76" s="120" t="e">
        <f t="shared" si="37"/>
        <v>#VALUE!</v>
      </c>
      <c r="BJ76" s="122" t="e">
        <f>VLOOKUP(AY76,'排出係数表'!$A$4:$D$202,4)</f>
        <v>#N/A</v>
      </c>
      <c r="BK76" s="257">
        <f t="shared" si="38"/>
      </c>
    </row>
    <row r="77" spans="1:63" s="124" customFormat="1" ht="13.5" customHeight="1">
      <c r="A77" s="120"/>
      <c r="B77" s="120"/>
      <c r="C77" s="155"/>
      <c r="D77" s="155"/>
      <c r="E77" s="155"/>
      <c r="F77" s="155"/>
      <c r="G77" s="156"/>
      <c r="H77" s="157"/>
      <c r="I77" s="155"/>
      <c r="J77" s="155"/>
      <c r="K77" s="158"/>
      <c r="L77" s="159"/>
      <c r="M77" s="244"/>
      <c r="N77" s="155"/>
      <c r="O77" s="345">
        <f t="shared" si="67"/>
      </c>
      <c r="P77" s="345">
        <f t="shared" si="52"/>
      </c>
      <c r="Q77" s="508"/>
      <c r="R77" s="346"/>
      <c r="S77" s="347"/>
      <c r="T77" s="348"/>
      <c r="U77" s="347"/>
      <c r="V77" s="348"/>
      <c r="W77" s="347"/>
      <c r="X77" s="348"/>
      <c r="Y77" s="347"/>
      <c r="Z77" s="348"/>
      <c r="AA77" s="340" t="e">
        <f t="shared" si="53"/>
        <v>#N/A</v>
      </c>
      <c r="AB77" s="339">
        <f t="shared" si="68"/>
      </c>
      <c r="AC77" s="339">
        <f t="shared" si="69"/>
      </c>
      <c r="AD77" s="255">
        <f t="shared" si="70"/>
      </c>
      <c r="AE77" s="256">
        <f t="shared" si="71"/>
      </c>
      <c r="AF77" s="256">
        <f t="shared" si="72"/>
      </c>
      <c r="AG77" s="255">
        <f t="shared" si="73"/>
      </c>
      <c r="AH77" s="255">
        <f t="shared" si="54"/>
      </c>
      <c r="AI77" s="255">
        <f t="shared" si="74"/>
      </c>
      <c r="AJ77" s="255">
        <f t="shared" si="75"/>
      </c>
      <c r="AK77" s="255">
        <f t="shared" si="55"/>
      </c>
      <c r="AL77" s="255">
        <f t="shared" si="56"/>
      </c>
      <c r="AM77" s="120">
        <f ca="1" t="shared" si="46"/>
        <v>0</v>
      </c>
      <c r="AN77" s="120" t="e">
        <f t="shared" si="57"/>
        <v>#N/A</v>
      </c>
      <c r="AO77" s="120">
        <f>ROWS($AO$4:AO77)-1</f>
        <v>73</v>
      </c>
      <c r="AP77" s="255" t="e">
        <f t="shared" si="58"/>
        <v>#N/A</v>
      </c>
      <c r="AQ77" s="120" t="e">
        <f t="shared" si="59"/>
        <v>#N/A</v>
      </c>
      <c r="AR77" s="120" t="e">
        <f t="shared" si="41"/>
        <v>#N/A</v>
      </c>
      <c r="AS77" s="121">
        <f t="shared" si="48"/>
        <v>1</v>
      </c>
      <c r="AT77" s="120" t="str">
        <f t="shared" si="49"/>
        <v> </v>
      </c>
      <c r="AU77" s="120" t="str">
        <f t="shared" si="50"/>
        <v> </v>
      </c>
      <c r="AV77" s="120" t="e">
        <f t="shared" si="60"/>
        <v>#N/A</v>
      </c>
      <c r="AW77" s="120" t="e">
        <f t="shared" si="61"/>
        <v>#N/A</v>
      </c>
      <c r="AX77" s="120">
        <f t="shared" si="62"/>
      </c>
      <c r="AY77" s="120" t="e">
        <f t="shared" si="63"/>
        <v>#N/A</v>
      </c>
      <c r="AZ77" s="120" t="e">
        <f>VLOOKUP(AY77,'排出係数表'!$A$4:$C$202,2,FALSE)</f>
        <v>#N/A</v>
      </c>
      <c r="BA77" s="120" t="e">
        <f t="shared" si="64"/>
        <v>#N/A</v>
      </c>
      <c r="BB77" s="120" t="e">
        <f>VLOOKUP(AY77,'排出係数表'!$A$4:$C$202,3,FALSE)</f>
        <v>#N/A</v>
      </c>
      <c r="BC77" s="120" t="e">
        <f t="shared" si="65"/>
        <v>#N/A</v>
      </c>
      <c r="BD77" s="120">
        <f t="shared" si="76"/>
        <v>1</v>
      </c>
      <c r="BE77" s="122">
        <f t="shared" si="66"/>
      </c>
      <c r="BF77" s="123" t="e">
        <f t="shared" si="51"/>
        <v>#VALUE!</v>
      </c>
      <c r="BG77" s="122">
        <f t="shared" si="35"/>
      </c>
      <c r="BH77" s="120" t="e">
        <f t="shared" si="36"/>
        <v>#VALUE!</v>
      </c>
      <c r="BI77" s="120" t="e">
        <f t="shared" si="37"/>
        <v>#VALUE!</v>
      </c>
      <c r="BJ77" s="122" t="e">
        <f>VLOOKUP(AY77,'排出係数表'!$A$4:$D$202,4)</f>
        <v>#N/A</v>
      </c>
      <c r="BK77" s="257">
        <f t="shared" si="38"/>
      </c>
    </row>
    <row r="78" spans="1:63" s="124" customFormat="1" ht="13.5" customHeight="1">
      <c r="A78" s="120"/>
      <c r="B78" s="120"/>
      <c r="C78" s="155"/>
      <c r="D78" s="155"/>
      <c r="E78" s="155"/>
      <c r="F78" s="155"/>
      <c r="G78" s="156"/>
      <c r="H78" s="157"/>
      <c r="I78" s="155"/>
      <c r="J78" s="155"/>
      <c r="K78" s="158"/>
      <c r="L78" s="159"/>
      <c r="M78" s="244"/>
      <c r="N78" s="155"/>
      <c r="O78" s="345">
        <f t="shared" si="67"/>
      </c>
      <c r="P78" s="345">
        <f t="shared" si="52"/>
      </c>
      <c r="Q78" s="508"/>
      <c r="R78" s="346"/>
      <c r="S78" s="347"/>
      <c r="T78" s="348"/>
      <c r="U78" s="347"/>
      <c r="V78" s="348"/>
      <c r="W78" s="347"/>
      <c r="X78" s="348"/>
      <c r="Y78" s="347"/>
      <c r="Z78" s="348"/>
      <c r="AA78" s="340" t="e">
        <f t="shared" si="53"/>
        <v>#N/A</v>
      </c>
      <c r="AB78" s="339">
        <f t="shared" si="68"/>
      </c>
      <c r="AC78" s="339">
        <f t="shared" si="69"/>
      </c>
      <c r="AD78" s="255">
        <f t="shared" si="70"/>
      </c>
      <c r="AE78" s="256">
        <f t="shared" si="71"/>
      </c>
      <c r="AF78" s="256">
        <f t="shared" si="72"/>
      </c>
      <c r="AG78" s="255">
        <f t="shared" si="73"/>
      </c>
      <c r="AH78" s="255">
        <f t="shared" si="54"/>
      </c>
      <c r="AI78" s="255">
        <f t="shared" si="74"/>
      </c>
      <c r="AJ78" s="255">
        <f t="shared" si="75"/>
      </c>
      <c r="AK78" s="255">
        <f t="shared" si="55"/>
      </c>
      <c r="AL78" s="255">
        <f t="shared" si="56"/>
      </c>
      <c r="AM78" s="120">
        <f ca="1" t="shared" si="46"/>
        <v>0</v>
      </c>
      <c r="AN78" s="120" t="e">
        <f t="shared" si="57"/>
        <v>#N/A</v>
      </c>
      <c r="AO78" s="120">
        <f>ROWS($AO$4:AO78)-1</f>
        <v>74</v>
      </c>
      <c r="AP78" s="255" t="e">
        <f t="shared" si="58"/>
        <v>#N/A</v>
      </c>
      <c r="AQ78" s="120" t="e">
        <f t="shared" si="59"/>
        <v>#N/A</v>
      </c>
      <c r="AR78" s="120" t="e">
        <f t="shared" si="41"/>
        <v>#N/A</v>
      </c>
      <c r="AS78" s="121">
        <f t="shared" si="48"/>
        <v>1</v>
      </c>
      <c r="AT78" s="120" t="str">
        <f t="shared" si="49"/>
        <v> </v>
      </c>
      <c r="AU78" s="120" t="str">
        <f t="shared" si="50"/>
        <v> </v>
      </c>
      <c r="AV78" s="120" t="e">
        <f t="shared" si="60"/>
        <v>#N/A</v>
      </c>
      <c r="AW78" s="120" t="e">
        <f t="shared" si="61"/>
        <v>#N/A</v>
      </c>
      <c r="AX78" s="120">
        <f t="shared" si="62"/>
      </c>
      <c r="AY78" s="120" t="e">
        <f t="shared" si="63"/>
        <v>#N/A</v>
      </c>
      <c r="AZ78" s="120" t="e">
        <f>VLOOKUP(AY78,'排出係数表'!$A$4:$C$202,2,FALSE)</f>
        <v>#N/A</v>
      </c>
      <c r="BA78" s="120" t="e">
        <f t="shared" si="64"/>
        <v>#N/A</v>
      </c>
      <c r="BB78" s="120" t="e">
        <f>VLOOKUP(AY78,'排出係数表'!$A$4:$C$202,3,FALSE)</f>
        <v>#N/A</v>
      </c>
      <c r="BC78" s="120" t="e">
        <f t="shared" si="65"/>
        <v>#N/A</v>
      </c>
      <c r="BD78" s="120">
        <f t="shared" si="76"/>
        <v>1</v>
      </c>
      <c r="BE78" s="122">
        <f t="shared" si="66"/>
      </c>
      <c r="BF78" s="123" t="e">
        <f t="shared" si="51"/>
        <v>#VALUE!</v>
      </c>
      <c r="BG78" s="122">
        <f t="shared" si="35"/>
      </c>
      <c r="BH78" s="120" t="e">
        <f t="shared" si="36"/>
        <v>#VALUE!</v>
      </c>
      <c r="BI78" s="120" t="e">
        <f t="shared" si="37"/>
        <v>#VALUE!</v>
      </c>
      <c r="BJ78" s="122" t="e">
        <f>VLOOKUP(AY78,'排出係数表'!$A$4:$D$202,4)</f>
        <v>#N/A</v>
      </c>
      <c r="BK78" s="257">
        <f t="shared" si="38"/>
      </c>
    </row>
    <row r="79" spans="1:63" s="124" customFormat="1" ht="13.5" customHeight="1">
      <c r="A79" s="120"/>
      <c r="B79" s="120"/>
      <c r="C79" s="155"/>
      <c r="D79" s="155"/>
      <c r="E79" s="155"/>
      <c r="F79" s="155"/>
      <c r="G79" s="156"/>
      <c r="H79" s="157"/>
      <c r="I79" s="155"/>
      <c r="J79" s="155"/>
      <c r="K79" s="158"/>
      <c r="L79" s="159"/>
      <c r="M79" s="244"/>
      <c r="N79" s="155"/>
      <c r="O79" s="345">
        <f t="shared" si="67"/>
      </c>
      <c r="P79" s="345">
        <f t="shared" si="52"/>
      </c>
      <c r="Q79" s="508"/>
      <c r="R79" s="346"/>
      <c r="S79" s="347"/>
      <c r="T79" s="348"/>
      <c r="U79" s="347"/>
      <c r="V79" s="348"/>
      <c r="W79" s="347"/>
      <c r="X79" s="348"/>
      <c r="Y79" s="347"/>
      <c r="Z79" s="348"/>
      <c r="AA79" s="340" t="e">
        <f t="shared" si="53"/>
        <v>#N/A</v>
      </c>
      <c r="AB79" s="339">
        <f t="shared" si="68"/>
      </c>
      <c r="AC79" s="339">
        <f t="shared" si="69"/>
      </c>
      <c r="AD79" s="255">
        <f t="shared" si="70"/>
      </c>
      <c r="AE79" s="256">
        <f t="shared" si="71"/>
      </c>
      <c r="AF79" s="256">
        <f t="shared" si="72"/>
      </c>
      <c r="AG79" s="255">
        <f t="shared" si="73"/>
      </c>
      <c r="AH79" s="255">
        <f t="shared" si="54"/>
      </c>
      <c r="AI79" s="255">
        <f t="shared" si="74"/>
      </c>
      <c r="AJ79" s="255">
        <f t="shared" si="75"/>
      </c>
      <c r="AK79" s="255">
        <f t="shared" si="55"/>
      </c>
      <c r="AL79" s="255">
        <f t="shared" si="56"/>
      </c>
      <c r="AM79" s="120">
        <f ca="1" t="shared" si="46"/>
        <v>0</v>
      </c>
      <c r="AN79" s="120" t="e">
        <f t="shared" si="57"/>
        <v>#N/A</v>
      </c>
      <c r="AO79" s="120">
        <f>ROWS($AO$4:AO79)-1</f>
        <v>75</v>
      </c>
      <c r="AP79" s="255" t="e">
        <f t="shared" si="58"/>
        <v>#N/A</v>
      </c>
      <c r="AQ79" s="120" t="e">
        <f t="shared" si="59"/>
        <v>#N/A</v>
      </c>
      <c r="AR79" s="120" t="e">
        <f t="shared" si="41"/>
        <v>#N/A</v>
      </c>
      <c r="AS79" s="121">
        <f t="shared" si="48"/>
        <v>1</v>
      </c>
      <c r="AT79" s="120" t="str">
        <f t="shared" si="49"/>
        <v> </v>
      </c>
      <c r="AU79" s="120" t="str">
        <f t="shared" si="50"/>
        <v> </v>
      </c>
      <c r="AV79" s="120" t="e">
        <f t="shared" si="60"/>
        <v>#N/A</v>
      </c>
      <c r="AW79" s="120" t="e">
        <f t="shared" si="61"/>
        <v>#N/A</v>
      </c>
      <c r="AX79" s="120">
        <f t="shared" si="62"/>
      </c>
      <c r="AY79" s="120" t="e">
        <f t="shared" si="63"/>
        <v>#N/A</v>
      </c>
      <c r="AZ79" s="120" t="e">
        <f>VLOOKUP(AY79,'排出係数表'!$A$4:$C$202,2,FALSE)</f>
        <v>#N/A</v>
      </c>
      <c r="BA79" s="120" t="e">
        <f t="shared" si="64"/>
        <v>#N/A</v>
      </c>
      <c r="BB79" s="120" t="e">
        <f>VLOOKUP(AY79,'排出係数表'!$A$4:$C$202,3,FALSE)</f>
        <v>#N/A</v>
      </c>
      <c r="BC79" s="120" t="e">
        <f t="shared" si="65"/>
        <v>#N/A</v>
      </c>
      <c r="BD79" s="120">
        <f t="shared" si="76"/>
        <v>1</v>
      </c>
      <c r="BE79" s="122">
        <f t="shared" si="66"/>
      </c>
      <c r="BF79" s="123" t="e">
        <f t="shared" si="51"/>
        <v>#VALUE!</v>
      </c>
      <c r="BG79" s="122">
        <f t="shared" si="35"/>
      </c>
      <c r="BH79" s="120" t="e">
        <f t="shared" si="36"/>
        <v>#VALUE!</v>
      </c>
      <c r="BI79" s="120" t="e">
        <f t="shared" si="37"/>
        <v>#VALUE!</v>
      </c>
      <c r="BJ79" s="122" t="e">
        <f>VLOOKUP(AY79,'排出係数表'!$A$4:$D$202,4)</f>
        <v>#N/A</v>
      </c>
      <c r="BK79" s="257">
        <f t="shared" si="38"/>
      </c>
    </row>
    <row r="80" spans="1:63" s="124" customFormat="1" ht="13.5" customHeight="1">
      <c r="A80" s="120"/>
      <c r="B80" s="120"/>
      <c r="C80" s="155"/>
      <c r="D80" s="155"/>
      <c r="E80" s="155"/>
      <c r="F80" s="155"/>
      <c r="G80" s="156"/>
      <c r="H80" s="157"/>
      <c r="I80" s="155"/>
      <c r="J80" s="155"/>
      <c r="K80" s="158"/>
      <c r="L80" s="159"/>
      <c r="M80" s="244"/>
      <c r="N80" s="155"/>
      <c r="O80" s="345">
        <f t="shared" si="67"/>
      </c>
      <c r="P80" s="345">
        <f t="shared" si="52"/>
      </c>
      <c r="Q80" s="508"/>
      <c r="R80" s="346"/>
      <c r="S80" s="347"/>
      <c r="T80" s="348"/>
      <c r="U80" s="347"/>
      <c r="V80" s="348"/>
      <c r="W80" s="347"/>
      <c r="X80" s="348"/>
      <c r="Y80" s="347"/>
      <c r="Z80" s="348"/>
      <c r="AA80" s="340" t="e">
        <f t="shared" si="53"/>
        <v>#N/A</v>
      </c>
      <c r="AB80" s="339">
        <f t="shared" si="68"/>
      </c>
      <c r="AC80" s="339">
        <f t="shared" si="69"/>
      </c>
      <c r="AD80" s="255">
        <f t="shared" si="70"/>
      </c>
      <c r="AE80" s="256">
        <f t="shared" si="71"/>
      </c>
      <c r="AF80" s="256">
        <f t="shared" si="72"/>
      </c>
      <c r="AG80" s="255">
        <f t="shared" si="73"/>
      </c>
      <c r="AH80" s="255">
        <f t="shared" si="54"/>
      </c>
      <c r="AI80" s="255">
        <f t="shared" si="74"/>
      </c>
      <c r="AJ80" s="255">
        <f t="shared" si="75"/>
      </c>
      <c r="AK80" s="255">
        <f t="shared" si="55"/>
      </c>
      <c r="AL80" s="255">
        <f t="shared" si="56"/>
      </c>
      <c r="AM80" s="120">
        <f ca="1" t="shared" si="46"/>
        <v>0</v>
      </c>
      <c r="AN80" s="120" t="e">
        <f t="shared" si="57"/>
        <v>#N/A</v>
      </c>
      <c r="AO80" s="120">
        <f>ROWS($AO$4:AO80)-1</f>
        <v>76</v>
      </c>
      <c r="AP80" s="255" t="e">
        <f t="shared" si="58"/>
        <v>#N/A</v>
      </c>
      <c r="AQ80" s="120" t="e">
        <f t="shared" si="59"/>
        <v>#N/A</v>
      </c>
      <c r="AR80" s="120" t="e">
        <f t="shared" si="41"/>
        <v>#N/A</v>
      </c>
      <c r="AS80" s="121">
        <f t="shared" si="48"/>
        <v>1</v>
      </c>
      <c r="AT80" s="120" t="str">
        <f t="shared" si="49"/>
        <v> </v>
      </c>
      <c r="AU80" s="120" t="str">
        <f t="shared" si="50"/>
        <v> </v>
      </c>
      <c r="AV80" s="120" t="e">
        <f t="shared" si="60"/>
        <v>#N/A</v>
      </c>
      <c r="AW80" s="120" t="e">
        <f t="shared" si="61"/>
        <v>#N/A</v>
      </c>
      <c r="AX80" s="120">
        <f t="shared" si="62"/>
      </c>
      <c r="AY80" s="120" t="e">
        <f t="shared" si="63"/>
        <v>#N/A</v>
      </c>
      <c r="AZ80" s="120" t="e">
        <f>VLOOKUP(AY80,'排出係数表'!$A$4:$C$202,2,FALSE)</f>
        <v>#N/A</v>
      </c>
      <c r="BA80" s="120" t="e">
        <f t="shared" si="64"/>
        <v>#N/A</v>
      </c>
      <c r="BB80" s="120" t="e">
        <f>VLOOKUP(AY80,'排出係数表'!$A$4:$C$202,3,FALSE)</f>
        <v>#N/A</v>
      </c>
      <c r="BC80" s="120" t="e">
        <f t="shared" si="65"/>
        <v>#N/A</v>
      </c>
      <c r="BD80" s="120">
        <f t="shared" si="76"/>
        <v>1</v>
      </c>
      <c r="BE80" s="122">
        <f t="shared" si="66"/>
      </c>
      <c r="BF80" s="123" t="e">
        <f t="shared" si="51"/>
        <v>#VALUE!</v>
      </c>
      <c r="BG80" s="122">
        <f t="shared" si="35"/>
      </c>
      <c r="BH80" s="120" t="e">
        <f t="shared" si="36"/>
        <v>#VALUE!</v>
      </c>
      <c r="BI80" s="120" t="e">
        <f t="shared" si="37"/>
        <v>#VALUE!</v>
      </c>
      <c r="BJ80" s="122" t="e">
        <f>VLOOKUP(AY80,'排出係数表'!$A$4:$D$202,4)</f>
        <v>#N/A</v>
      </c>
      <c r="BK80" s="257">
        <f t="shared" si="38"/>
      </c>
    </row>
    <row r="81" spans="1:63" s="124" customFormat="1" ht="13.5" customHeight="1">
      <c r="A81" s="120"/>
      <c r="B81" s="120"/>
      <c r="C81" s="155"/>
      <c r="D81" s="155"/>
      <c r="E81" s="155"/>
      <c r="F81" s="155"/>
      <c r="G81" s="156"/>
      <c r="H81" s="157"/>
      <c r="I81" s="155"/>
      <c r="J81" s="155"/>
      <c r="K81" s="158"/>
      <c r="L81" s="159"/>
      <c r="M81" s="244"/>
      <c r="N81" s="155"/>
      <c r="O81" s="345">
        <f t="shared" si="67"/>
      </c>
      <c r="P81" s="345">
        <f t="shared" si="52"/>
      </c>
      <c r="Q81" s="508"/>
      <c r="R81" s="346"/>
      <c r="S81" s="347"/>
      <c r="T81" s="348"/>
      <c r="U81" s="347"/>
      <c r="V81" s="348"/>
      <c r="W81" s="347"/>
      <c r="X81" s="348"/>
      <c r="Y81" s="347"/>
      <c r="Z81" s="348"/>
      <c r="AA81" s="340" t="e">
        <f t="shared" si="53"/>
        <v>#N/A</v>
      </c>
      <c r="AB81" s="339">
        <f t="shared" si="68"/>
      </c>
      <c r="AC81" s="339">
        <f t="shared" si="69"/>
      </c>
      <c r="AD81" s="255">
        <f t="shared" si="70"/>
      </c>
      <c r="AE81" s="256">
        <f t="shared" si="71"/>
      </c>
      <c r="AF81" s="256">
        <f t="shared" si="72"/>
      </c>
      <c r="AG81" s="255">
        <f t="shared" si="73"/>
      </c>
      <c r="AH81" s="255">
        <f t="shared" si="54"/>
      </c>
      <c r="AI81" s="255">
        <f t="shared" si="74"/>
      </c>
      <c r="AJ81" s="255">
        <f t="shared" si="75"/>
      </c>
      <c r="AK81" s="255">
        <f t="shared" si="55"/>
      </c>
      <c r="AL81" s="255">
        <f t="shared" si="56"/>
      </c>
      <c r="AM81" s="120">
        <f ca="1" t="shared" si="46"/>
        <v>0</v>
      </c>
      <c r="AN81" s="120" t="e">
        <f t="shared" si="57"/>
        <v>#N/A</v>
      </c>
      <c r="AO81" s="120">
        <f>ROWS($AO$4:AO81)-1</f>
        <v>77</v>
      </c>
      <c r="AP81" s="255" t="e">
        <f t="shared" si="58"/>
        <v>#N/A</v>
      </c>
      <c r="AQ81" s="120" t="e">
        <f t="shared" si="59"/>
        <v>#N/A</v>
      </c>
      <c r="AR81" s="120" t="e">
        <f t="shared" si="41"/>
        <v>#N/A</v>
      </c>
      <c r="AS81" s="121">
        <f t="shared" si="48"/>
        <v>1</v>
      </c>
      <c r="AT81" s="120" t="str">
        <f t="shared" si="49"/>
        <v> </v>
      </c>
      <c r="AU81" s="120" t="str">
        <f t="shared" si="50"/>
        <v> </v>
      </c>
      <c r="AV81" s="120" t="e">
        <f t="shared" si="60"/>
        <v>#N/A</v>
      </c>
      <c r="AW81" s="120" t="e">
        <f t="shared" si="61"/>
        <v>#N/A</v>
      </c>
      <c r="AX81" s="120">
        <f t="shared" si="62"/>
      </c>
      <c r="AY81" s="120" t="e">
        <f t="shared" si="63"/>
        <v>#N/A</v>
      </c>
      <c r="AZ81" s="120" t="e">
        <f>VLOOKUP(AY81,'排出係数表'!$A$4:$C$202,2,FALSE)</f>
        <v>#N/A</v>
      </c>
      <c r="BA81" s="120" t="e">
        <f t="shared" si="64"/>
        <v>#N/A</v>
      </c>
      <c r="BB81" s="120" t="e">
        <f>VLOOKUP(AY81,'排出係数表'!$A$4:$C$202,3,FALSE)</f>
        <v>#N/A</v>
      </c>
      <c r="BC81" s="120" t="e">
        <f t="shared" si="65"/>
        <v>#N/A</v>
      </c>
      <c r="BD81" s="120">
        <f t="shared" si="76"/>
        <v>1</v>
      </c>
      <c r="BE81" s="122">
        <f t="shared" si="66"/>
      </c>
      <c r="BF81" s="123" t="e">
        <f t="shared" si="51"/>
        <v>#VALUE!</v>
      </c>
      <c r="BG81" s="122">
        <f aca="true" t="shared" si="77" ref="BG81:BG144">IF(OR(AL81="",AL81=0),"",CONCATENATE(BF81,AR81,AU81))</f>
      </c>
      <c r="BH81" s="120" t="e">
        <f aca="true" t="shared" si="78" ref="BH81:BH144">AI81&amp;BF81&amp;AR81&amp;AU81</f>
        <v>#VALUE!</v>
      </c>
      <c r="BI81" s="120" t="e">
        <f aca="true" t="shared" si="79" ref="BI81:BI144">AG81&amp;BF81&amp;AR81&amp;AU81</f>
        <v>#VALUE!</v>
      </c>
      <c r="BJ81" s="122" t="e">
        <f>VLOOKUP(AY81,'排出係数表'!$A$4:$D$202,4)</f>
        <v>#N/A</v>
      </c>
      <c r="BK81" s="257">
        <f t="shared" si="38"/>
      </c>
    </row>
    <row r="82" spans="1:63" s="124" customFormat="1" ht="13.5" customHeight="1">
      <c r="A82" s="120"/>
      <c r="B82" s="120"/>
      <c r="C82" s="155"/>
      <c r="D82" s="155"/>
      <c r="E82" s="155"/>
      <c r="F82" s="155"/>
      <c r="G82" s="156"/>
      <c r="H82" s="157"/>
      <c r="I82" s="155"/>
      <c r="J82" s="155"/>
      <c r="K82" s="158"/>
      <c r="L82" s="159"/>
      <c r="M82" s="244"/>
      <c r="N82" s="155"/>
      <c r="O82" s="345">
        <f t="shared" si="67"/>
      </c>
      <c r="P82" s="345">
        <f t="shared" si="52"/>
      </c>
      <c r="Q82" s="508"/>
      <c r="R82" s="346"/>
      <c r="S82" s="347"/>
      <c r="T82" s="348"/>
      <c r="U82" s="347"/>
      <c r="V82" s="348"/>
      <c r="W82" s="347"/>
      <c r="X82" s="348"/>
      <c r="Y82" s="347"/>
      <c r="Z82" s="348"/>
      <c r="AA82" s="340" t="e">
        <f t="shared" si="53"/>
        <v>#N/A</v>
      </c>
      <c r="AB82" s="339">
        <f t="shared" si="68"/>
      </c>
      <c r="AC82" s="339">
        <f t="shared" si="69"/>
      </c>
      <c r="AD82" s="255">
        <f t="shared" si="70"/>
      </c>
      <c r="AE82" s="256">
        <f t="shared" si="71"/>
      </c>
      <c r="AF82" s="256">
        <f t="shared" si="72"/>
      </c>
      <c r="AG82" s="255">
        <f t="shared" si="73"/>
      </c>
      <c r="AH82" s="255">
        <f t="shared" si="54"/>
      </c>
      <c r="AI82" s="255">
        <f t="shared" si="74"/>
      </c>
      <c r="AJ82" s="255">
        <f t="shared" si="75"/>
      </c>
      <c r="AK82" s="255">
        <f t="shared" si="55"/>
      </c>
      <c r="AL82" s="255">
        <f t="shared" si="56"/>
      </c>
      <c r="AM82" s="120">
        <f ca="1" t="shared" si="46"/>
        <v>0</v>
      </c>
      <c r="AN82" s="120" t="e">
        <f t="shared" si="57"/>
        <v>#N/A</v>
      </c>
      <c r="AO82" s="120">
        <f>ROWS($AO$4:AO82)-1</f>
        <v>78</v>
      </c>
      <c r="AP82" s="255" t="e">
        <f t="shared" si="58"/>
        <v>#N/A</v>
      </c>
      <c r="AQ82" s="120" t="e">
        <f t="shared" si="59"/>
        <v>#N/A</v>
      </c>
      <c r="AR82" s="120" t="e">
        <f t="shared" si="41"/>
        <v>#N/A</v>
      </c>
      <c r="AS82" s="121">
        <f t="shared" si="48"/>
        <v>1</v>
      </c>
      <c r="AT82" s="120" t="str">
        <f t="shared" si="49"/>
        <v> </v>
      </c>
      <c r="AU82" s="120" t="str">
        <f t="shared" si="50"/>
        <v> </v>
      </c>
      <c r="AV82" s="120" t="e">
        <f t="shared" si="60"/>
        <v>#N/A</v>
      </c>
      <c r="AW82" s="120" t="e">
        <f t="shared" si="61"/>
        <v>#N/A</v>
      </c>
      <c r="AX82" s="120">
        <f t="shared" si="62"/>
      </c>
      <c r="AY82" s="120" t="e">
        <f t="shared" si="63"/>
        <v>#N/A</v>
      </c>
      <c r="AZ82" s="120" t="e">
        <f>VLOOKUP(AY82,'排出係数表'!$A$4:$C$202,2,FALSE)</f>
        <v>#N/A</v>
      </c>
      <c r="BA82" s="120" t="e">
        <f t="shared" si="64"/>
        <v>#N/A</v>
      </c>
      <c r="BB82" s="120" t="e">
        <f>VLOOKUP(AY82,'排出係数表'!$A$4:$C$202,3,FALSE)</f>
        <v>#N/A</v>
      </c>
      <c r="BC82" s="120" t="e">
        <f t="shared" si="65"/>
        <v>#N/A</v>
      </c>
      <c r="BD82" s="120">
        <f t="shared" si="76"/>
        <v>1</v>
      </c>
      <c r="BE82" s="122">
        <f t="shared" si="66"/>
      </c>
      <c r="BF82" s="123" t="e">
        <f t="shared" si="51"/>
        <v>#VALUE!</v>
      </c>
      <c r="BG82" s="122">
        <f t="shared" si="77"/>
      </c>
      <c r="BH82" s="120" t="e">
        <f t="shared" si="78"/>
        <v>#VALUE!</v>
      </c>
      <c r="BI82" s="120" t="e">
        <f t="shared" si="79"/>
        <v>#VALUE!</v>
      </c>
      <c r="BJ82" s="122" t="e">
        <f>VLOOKUP(AY82,'排出係数表'!$A$4:$D$202,4)</f>
        <v>#N/A</v>
      </c>
      <c r="BK82" s="257">
        <f t="shared" si="38"/>
      </c>
    </row>
    <row r="83" spans="1:63" s="124" customFormat="1" ht="13.5" customHeight="1">
      <c r="A83" s="120"/>
      <c r="B83" s="120"/>
      <c r="C83" s="155"/>
      <c r="D83" s="155"/>
      <c r="E83" s="155"/>
      <c r="F83" s="155"/>
      <c r="G83" s="156"/>
      <c r="H83" s="157"/>
      <c r="I83" s="155"/>
      <c r="J83" s="155"/>
      <c r="K83" s="158"/>
      <c r="L83" s="159"/>
      <c r="M83" s="244"/>
      <c r="N83" s="155"/>
      <c r="O83" s="345">
        <f t="shared" si="67"/>
      </c>
      <c r="P83" s="345">
        <f t="shared" si="52"/>
      </c>
      <c r="Q83" s="508"/>
      <c r="R83" s="346"/>
      <c r="S83" s="347"/>
      <c r="T83" s="348"/>
      <c r="U83" s="347"/>
      <c r="V83" s="348"/>
      <c r="W83" s="347"/>
      <c r="X83" s="348"/>
      <c r="Y83" s="347"/>
      <c r="Z83" s="348"/>
      <c r="AA83" s="340" t="e">
        <f t="shared" si="53"/>
        <v>#N/A</v>
      </c>
      <c r="AB83" s="339">
        <f t="shared" si="68"/>
      </c>
      <c r="AC83" s="339">
        <f t="shared" si="69"/>
      </c>
      <c r="AD83" s="255">
        <f t="shared" si="70"/>
      </c>
      <c r="AE83" s="256">
        <f t="shared" si="71"/>
      </c>
      <c r="AF83" s="256">
        <f t="shared" si="72"/>
      </c>
      <c r="AG83" s="255">
        <f t="shared" si="73"/>
      </c>
      <c r="AH83" s="255">
        <f t="shared" si="54"/>
      </c>
      <c r="AI83" s="255">
        <f t="shared" si="74"/>
      </c>
      <c r="AJ83" s="255">
        <f t="shared" si="75"/>
      </c>
      <c r="AK83" s="255">
        <f t="shared" si="55"/>
      </c>
      <c r="AL83" s="255">
        <f t="shared" si="56"/>
      </c>
      <c r="AM83" s="120">
        <f ca="1" t="shared" si="46"/>
        <v>0</v>
      </c>
      <c r="AN83" s="120" t="e">
        <f t="shared" si="57"/>
        <v>#N/A</v>
      </c>
      <c r="AO83" s="120">
        <f>ROWS($AO$4:AO83)-1</f>
        <v>79</v>
      </c>
      <c r="AP83" s="255" t="e">
        <f t="shared" si="58"/>
        <v>#N/A</v>
      </c>
      <c r="AQ83" s="120" t="e">
        <f t="shared" si="59"/>
        <v>#N/A</v>
      </c>
      <c r="AR83" s="120" t="e">
        <f t="shared" si="41"/>
        <v>#N/A</v>
      </c>
      <c r="AS83" s="121">
        <f t="shared" si="48"/>
        <v>1</v>
      </c>
      <c r="AT83" s="120" t="str">
        <f t="shared" si="49"/>
        <v> </v>
      </c>
      <c r="AU83" s="120" t="str">
        <f t="shared" si="50"/>
        <v> </v>
      </c>
      <c r="AV83" s="120" t="e">
        <f t="shared" si="60"/>
        <v>#N/A</v>
      </c>
      <c r="AW83" s="120" t="e">
        <f t="shared" si="61"/>
        <v>#N/A</v>
      </c>
      <c r="AX83" s="120">
        <f t="shared" si="62"/>
      </c>
      <c r="AY83" s="120" t="e">
        <f t="shared" si="63"/>
        <v>#N/A</v>
      </c>
      <c r="AZ83" s="120" t="e">
        <f>VLOOKUP(AY83,'排出係数表'!$A$4:$C$202,2,FALSE)</f>
        <v>#N/A</v>
      </c>
      <c r="BA83" s="120" t="e">
        <f t="shared" si="64"/>
        <v>#N/A</v>
      </c>
      <c r="BB83" s="120" t="e">
        <f>VLOOKUP(AY83,'排出係数表'!$A$4:$C$202,3,FALSE)</f>
        <v>#N/A</v>
      </c>
      <c r="BC83" s="120" t="e">
        <f t="shared" si="65"/>
        <v>#N/A</v>
      </c>
      <c r="BD83" s="120">
        <f t="shared" si="76"/>
        <v>1</v>
      </c>
      <c r="BE83" s="122">
        <f t="shared" si="66"/>
      </c>
      <c r="BF83" s="123" t="e">
        <f t="shared" si="51"/>
        <v>#VALUE!</v>
      </c>
      <c r="BG83" s="122">
        <f t="shared" si="77"/>
      </c>
      <c r="BH83" s="120" t="e">
        <f t="shared" si="78"/>
        <v>#VALUE!</v>
      </c>
      <c r="BI83" s="120" t="e">
        <f t="shared" si="79"/>
        <v>#VALUE!</v>
      </c>
      <c r="BJ83" s="122" t="e">
        <f>VLOOKUP(AY83,'排出係数表'!$A$4:$D$202,4)</f>
        <v>#N/A</v>
      </c>
      <c r="BK83" s="257">
        <f t="shared" si="38"/>
      </c>
    </row>
    <row r="84" spans="1:63" s="124" customFormat="1" ht="13.5" customHeight="1">
      <c r="A84" s="120"/>
      <c r="B84" s="120"/>
      <c r="C84" s="155"/>
      <c r="D84" s="155"/>
      <c r="E84" s="155"/>
      <c r="F84" s="155"/>
      <c r="G84" s="156"/>
      <c r="H84" s="157"/>
      <c r="I84" s="155"/>
      <c r="J84" s="155"/>
      <c r="K84" s="158"/>
      <c r="L84" s="159"/>
      <c r="M84" s="244"/>
      <c r="N84" s="155"/>
      <c r="O84" s="345">
        <f t="shared" si="67"/>
      </c>
      <c r="P84" s="345">
        <f t="shared" si="52"/>
      </c>
      <c r="Q84" s="508"/>
      <c r="R84" s="346"/>
      <c r="S84" s="347"/>
      <c r="T84" s="348"/>
      <c r="U84" s="347"/>
      <c r="V84" s="348"/>
      <c r="W84" s="347"/>
      <c r="X84" s="348"/>
      <c r="Y84" s="347"/>
      <c r="Z84" s="348"/>
      <c r="AA84" s="340" t="e">
        <f t="shared" si="53"/>
        <v>#N/A</v>
      </c>
      <c r="AB84" s="339">
        <f t="shared" si="68"/>
      </c>
      <c r="AC84" s="339">
        <f t="shared" si="69"/>
      </c>
      <c r="AD84" s="255">
        <f t="shared" si="70"/>
      </c>
      <c r="AE84" s="256">
        <f t="shared" si="71"/>
      </c>
      <c r="AF84" s="256">
        <f t="shared" si="72"/>
      </c>
      <c r="AG84" s="255">
        <f t="shared" si="73"/>
      </c>
      <c r="AH84" s="255">
        <f t="shared" si="54"/>
      </c>
      <c r="AI84" s="255">
        <f t="shared" si="74"/>
      </c>
      <c r="AJ84" s="255">
        <f t="shared" si="75"/>
      </c>
      <c r="AK84" s="255">
        <f t="shared" si="55"/>
      </c>
      <c r="AL84" s="255">
        <f t="shared" si="56"/>
      </c>
      <c r="AM84" s="120">
        <f ca="1" t="shared" si="46"/>
        <v>0</v>
      </c>
      <c r="AN84" s="120" t="e">
        <f t="shared" si="57"/>
        <v>#N/A</v>
      </c>
      <c r="AO84" s="120">
        <f>ROWS($AO$4:AO84)-1</f>
        <v>80</v>
      </c>
      <c r="AP84" s="255" t="e">
        <f t="shared" si="58"/>
        <v>#N/A</v>
      </c>
      <c r="AQ84" s="120" t="e">
        <f t="shared" si="59"/>
        <v>#N/A</v>
      </c>
      <c r="AR84" s="120" t="e">
        <f t="shared" si="41"/>
        <v>#N/A</v>
      </c>
      <c r="AS84" s="121">
        <f t="shared" si="48"/>
        <v>1</v>
      </c>
      <c r="AT84" s="120" t="str">
        <f t="shared" si="49"/>
        <v> </v>
      </c>
      <c r="AU84" s="120" t="str">
        <f t="shared" si="50"/>
        <v> </v>
      </c>
      <c r="AV84" s="120" t="e">
        <f t="shared" si="60"/>
        <v>#N/A</v>
      </c>
      <c r="AW84" s="120" t="e">
        <f t="shared" si="61"/>
        <v>#N/A</v>
      </c>
      <c r="AX84" s="120">
        <f t="shared" si="62"/>
      </c>
      <c r="AY84" s="120" t="e">
        <f t="shared" si="63"/>
        <v>#N/A</v>
      </c>
      <c r="AZ84" s="120" t="e">
        <f>VLOOKUP(AY84,'排出係数表'!$A$4:$C$202,2,FALSE)</f>
        <v>#N/A</v>
      </c>
      <c r="BA84" s="120" t="e">
        <f t="shared" si="64"/>
        <v>#N/A</v>
      </c>
      <c r="BB84" s="120" t="e">
        <f>VLOOKUP(AY84,'排出係数表'!$A$4:$C$202,3,FALSE)</f>
        <v>#N/A</v>
      </c>
      <c r="BC84" s="120" t="e">
        <f t="shared" si="65"/>
        <v>#N/A</v>
      </c>
      <c r="BD84" s="120">
        <f t="shared" si="76"/>
        <v>1</v>
      </c>
      <c r="BE84" s="122">
        <f t="shared" si="66"/>
      </c>
      <c r="BF84" s="123" t="e">
        <f t="shared" si="51"/>
        <v>#VALUE!</v>
      </c>
      <c r="BG84" s="122">
        <f t="shared" si="77"/>
      </c>
      <c r="BH84" s="120" t="e">
        <f t="shared" si="78"/>
        <v>#VALUE!</v>
      </c>
      <c r="BI84" s="120" t="e">
        <f t="shared" si="79"/>
        <v>#VALUE!</v>
      </c>
      <c r="BJ84" s="122" t="e">
        <f>VLOOKUP(AY84,'排出係数表'!$A$4:$D$202,4)</f>
        <v>#N/A</v>
      </c>
      <c r="BK84" s="257">
        <f t="shared" si="38"/>
      </c>
    </row>
    <row r="85" spans="1:63" s="124" customFormat="1" ht="13.5" customHeight="1">
      <c r="A85" s="120"/>
      <c r="B85" s="120"/>
      <c r="C85" s="155"/>
      <c r="D85" s="155"/>
      <c r="E85" s="155"/>
      <c r="F85" s="155"/>
      <c r="G85" s="156"/>
      <c r="H85" s="157"/>
      <c r="I85" s="155"/>
      <c r="J85" s="155"/>
      <c r="K85" s="158"/>
      <c r="L85" s="159"/>
      <c r="M85" s="244"/>
      <c r="N85" s="155"/>
      <c r="O85" s="345">
        <f t="shared" si="67"/>
      </c>
      <c r="P85" s="345">
        <f t="shared" si="52"/>
      </c>
      <c r="Q85" s="508"/>
      <c r="R85" s="346"/>
      <c r="S85" s="347"/>
      <c r="T85" s="348"/>
      <c r="U85" s="347"/>
      <c r="V85" s="348"/>
      <c r="W85" s="347"/>
      <c r="X85" s="348"/>
      <c r="Y85" s="347"/>
      <c r="Z85" s="348"/>
      <c r="AA85" s="340" t="e">
        <f t="shared" si="53"/>
        <v>#N/A</v>
      </c>
      <c r="AB85" s="339">
        <f t="shared" si="68"/>
      </c>
      <c r="AC85" s="339">
        <f t="shared" si="69"/>
      </c>
      <c r="AD85" s="255">
        <f t="shared" si="70"/>
      </c>
      <c r="AE85" s="256">
        <f t="shared" si="71"/>
      </c>
      <c r="AF85" s="256">
        <f t="shared" si="72"/>
      </c>
      <c r="AG85" s="255">
        <f t="shared" si="73"/>
      </c>
      <c r="AH85" s="255">
        <f t="shared" si="54"/>
      </c>
      <c r="AI85" s="255">
        <f t="shared" si="74"/>
      </c>
      <c r="AJ85" s="255">
        <f t="shared" si="75"/>
      </c>
      <c r="AK85" s="255">
        <f t="shared" si="55"/>
      </c>
      <c r="AL85" s="255">
        <f t="shared" si="56"/>
      </c>
      <c r="AM85" s="120">
        <f ca="1" t="shared" si="46"/>
        <v>0</v>
      </c>
      <c r="AN85" s="120" t="e">
        <f t="shared" si="57"/>
        <v>#N/A</v>
      </c>
      <c r="AO85" s="120">
        <f>ROWS($AO$4:AO85)-1</f>
        <v>81</v>
      </c>
      <c r="AP85" s="255" t="e">
        <f t="shared" si="58"/>
        <v>#N/A</v>
      </c>
      <c r="AQ85" s="120" t="e">
        <f t="shared" si="59"/>
        <v>#N/A</v>
      </c>
      <c r="AR85" s="120" t="e">
        <f t="shared" si="41"/>
        <v>#N/A</v>
      </c>
      <c r="AS85" s="121">
        <f t="shared" si="48"/>
        <v>1</v>
      </c>
      <c r="AT85" s="120" t="str">
        <f t="shared" si="49"/>
        <v> </v>
      </c>
      <c r="AU85" s="120" t="str">
        <f t="shared" si="50"/>
        <v> </v>
      </c>
      <c r="AV85" s="120" t="e">
        <f t="shared" si="60"/>
        <v>#N/A</v>
      </c>
      <c r="AW85" s="120" t="e">
        <f t="shared" si="61"/>
        <v>#N/A</v>
      </c>
      <c r="AX85" s="120">
        <f t="shared" si="62"/>
      </c>
      <c r="AY85" s="120" t="e">
        <f t="shared" si="63"/>
        <v>#N/A</v>
      </c>
      <c r="AZ85" s="120" t="e">
        <f>VLOOKUP(AY85,'排出係数表'!$A$4:$C$202,2,FALSE)</f>
        <v>#N/A</v>
      </c>
      <c r="BA85" s="120" t="e">
        <f t="shared" si="64"/>
        <v>#N/A</v>
      </c>
      <c r="BB85" s="120" t="e">
        <f>VLOOKUP(AY85,'排出係数表'!$A$4:$C$202,3,FALSE)</f>
        <v>#N/A</v>
      </c>
      <c r="BC85" s="120" t="e">
        <f t="shared" si="65"/>
        <v>#N/A</v>
      </c>
      <c r="BD85" s="120">
        <f t="shared" si="76"/>
        <v>1</v>
      </c>
      <c r="BE85" s="122">
        <f t="shared" si="66"/>
      </c>
      <c r="BF85" s="123" t="e">
        <f t="shared" si="51"/>
        <v>#VALUE!</v>
      </c>
      <c r="BG85" s="122">
        <f t="shared" si="77"/>
      </c>
      <c r="BH85" s="120" t="e">
        <f t="shared" si="78"/>
        <v>#VALUE!</v>
      </c>
      <c r="BI85" s="120" t="e">
        <f t="shared" si="79"/>
        <v>#VALUE!</v>
      </c>
      <c r="BJ85" s="122" t="e">
        <f>VLOOKUP(AY85,'排出係数表'!$A$4:$D$202,4)</f>
        <v>#N/A</v>
      </c>
      <c r="BK85" s="257">
        <f t="shared" si="38"/>
      </c>
    </row>
    <row r="86" spans="1:63" s="124" customFormat="1" ht="13.5" customHeight="1">
      <c r="A86" s="120"/>
      <c r="B86" s="120"/>
      <c r="C86" s="155"/>
      <c r="D86" s="155"/>
      <c r="E86" s="155"/>
      <c r="F86" s="155"/>
      <c r="G86" s="156"/>
      <c r="H86" s="157"/>
      <c r="I86" s="155"/>
      <c r="J86" s="155"/>
      <c r="K86" s="158"/>
      <c r="L86" s="159"/>
      <c r="M86" s="244"/>
      <c r="N86" s="155"/>
      <c r="O86" s="345">
        <f t="shared" si="67"/>
      </c>
      <c r="P86" s="345">
        <f t="shared" si="52"/>
      </c>
      <c r="Q86" s="508"/>
      <c r="R86" s="346"/>
      <c r="S86" s="347"/>
      <c r="T86" s="348"/>
      <c r="U86" s="347"/>
      <c r="V86" s="348"/>
      <c r="W86" s="347"/>
      <c r="X86" s="348"/>
      <c r="Y86" s="347"/>
      <c r="Z86" s="348"/>
      <c r="AA86" s="340" t="e">
        <f t="shared" si="53"/>
        <v>#N/A</v>
      </c>
      <c r="AB86" s="339">
        <f t="shared" si="68"/>
      </c>
      <c r="AC86" s="339">
        <f t="shared" si="69"/>
      </c>
      <c r="AD86" s="255">
        <f t="shared" si="70"/>
      </c>
      <c r="AE86" s="256">
        <f t="shared" si="71"/>
      </c>
      <c r="AF86" s="256">
        <f t="shared" si="72"/>
      </c>
      <c r="AG86" s="255">
        <f t="shared" si="73"/>
      </c>
      <c r="AH86" s="255">
        <f t="shared" si="54"/>
      </c>
      <c r="AI86" s="255">
        <f t="shared" si="74"/>
      </c>
      <c r="AJ86" s="255">
        <f t="shared" si="75"/>
      </c>
      <c r="AK86" s="255">
        <f t="shared" si="55"/>
      </c>
      <c r="AL86" s="255">
        <f t="shared" si="56"/>
      </c>
      <c r="AM86" s="120">
        <f ca="1" t="shared" si="46"/>
        <v>0</v>
      </c>
      <c r="AN86" s="120" t="e">
        <f t="shared" si="57"/>
        <v>#N/A</v>
      </c>
      <c r="AO86" s="120">
        <f>ROWS($AO$4:AO86)-1</f>
        <v>82</v>
      </c>
      <c r="AP86" s="255" t="e">
        <f t="shared" si="58"/>
        <v>#N/A</v>
      </c>
      <c r="AQ86" s="120" t="e">
        <f t="shared" si="59"/>
        <v>#N/A</v>
      </c>
      <c r="AR86" s="120" t="e">
        <f t="shared" si="41"/>
        <v>#N/A</v>
      </c>
      <c r="AS86" s="121">
        <f t="shared" si="48"/>
        <v>1</v>
      </c>
      <c r="AT86" s="120" t="str">
        <f t="shared" si="49"/>
        <v> </v>
      </c>
      <c r="AU86" s="120" t="str">
        <f t="shared" si="50"/>
        <v> </v>
      </c>
      <c r="AV86" s="120" t="e">
        <f t="shared" si="60"/>
        <v>#N/A</v>
      </c>
      <c r="AW86" s="120" t="e">
        <f t="shared" si="61"/>
        <v>#N/A</v>
      </c>
      <c r="AX86" s="120">
        <f t="shared" si="62"/>
      </c>
      <c r="AY86" s="120" t="e">
        <f t="shared" si="63"/>
        <v>#N/A</v>
      </c>
      <c r="AZ86" s="120" t="e">
        <f>VLOOKUP(AY86,'排出係数表'!$A$4:$C$202,2,FALSE)</f>
        <v>#N/A</v>
      </c>
      <c r="BA86" s="120" t="e">
        <f t="shared" si="64"/>
        <v>#N/A</v>
      </c>
      <c r="BB86" s="120" t="e">
        <f>VLOOKUP(AY86,'排出係数表'!$A$4:$C$202,3,FALSE)</f>
        <v>#N/A</v>
      </c>
      <c r="BC86" s="120" t="e">
        <f t="shared" si="65"/>
        <v>#N/A</v>
      </c>
      <c r="BD86" s="120">
        <f t="shared" si="76"/>
        <v>1</v>
      </c>
      <c r="BE86" s="122">
        <f t="shared" si="66"/>
      </c>
      <c r="BF86" s="123" t="e">
        <f t="shared" si="51"/>
        <v>#VALUE!</v>
      </c>
      <c r="BG86" s="122">
        <f t="shared" si="77"/>
      </c>
      <c r="BH86" s="120" t="e">
        <f t="shared" si="78"/>
        <v>#VALUE!</v>
      </c>
      <c r="BI86" s="120" t="e">
        <f t="shared" si="79"/>
        <v>#VALUE!</v>
      </c>
      <c r="BJ86" s="122" t="e">
        <f>VLOOKUP(AY86,'排出係数表'!$A$4:$D$202,4)</f>
        <v>#N/A</v>
      </c>
      <c r="BK86" s="257">
        <f t="shared" si="38"/>
      </c>
    </row>
    <row r="87" spans="1:63" s="124" customFormat="1" ht="13.5" customHeight="1">
      <c r="A87" s="120"/>
      <c r="B87" s="120"/>
      <c r="C87" s="155"/>
      <c r="D87" s="155"/>
      <c r="E87" s="155"/>
      <c r="F87" s="155"/>
      <c r="G87" s="156"/>
      <c r="H87" s="157"/>
      <c r="I87" s="155"/>
      <c r="J87" s="155"/>
      <c r="K87" s="158"/>
      <c r="L87" s="159"/>
      <c r="M87" s="244"/>
      <c r="N87" s="155"/>
      <c r="O87" s="345">
        <f t="shared" si="67"/>
      </c>
      <c r="P87" s="345">
        <f t="shared" si="52"/>
      </c>
      <c r="Q87" s="508"/>
      <c r="R87" s="346"/>
      <c r="S87" s="347"/>
      <c r="T87" s="348"/>
      <c r="U87" s="347"/>
      <c r="V87" s="348"/>
      <c r="W87" s="347"/>
      <c r="X87" s="348"/>
      <c r="Y87" s="347"/>
      <c r="Z87" s="348"/>
      <c r="AA87" s="340" t="e">
        <f t="shared" si="53"/>
        <v>#N/A</v>
      </c>
      <c r="AB87" s="339">
        <f t="shared" si="68"/>
      </c>
      <c r="AC87" s="339">
        <f t="shared" si="69"/>
      </c>
      <c r="AD87" s="255">
        <f t="shared" si="70"/>
      </c>
      <c r="AE87" s="256">
        <f t="shared" si="71"/>
      </c>
      <c r="AF87" s="256">
        <f t="shared" si="72"/>
      </c>
      <c r="AG87" s="255">
        <f t="shared" si="73"/>
      </c>
      <c r="AH87" s="255">
        <f t="shared" si="54"/>
      </c>
      <c r="AI87" s="255">
        <f t="shared" si="74"/>
      </c>
      <c r="AJ87" s="255">
        <f t="shared" si="75"/>
      </c>
      <c r="AK87" s="255">
        <f t="shared" si="55"/>
      </c>
      <c r="AL87" s="255">
        <f t="shared" si="56"/>
      </c>
      <c r="AM87" s="120">
        <f ca="1" t="shared" si="46"/>
        <v>0</v>
      </c>
      <c r="AN87" s="120" t="e">
        <f t="shared" si="57"/>
        <v>#N/A</v>
      </c>
      <c r="AO87" s="120">
        <f>ROWS($AO$4:AO87)-1</f>
        <v>83</v>
      </c>
      <c r="AP87" s="255" t="e">
        <f t="shared" si="58"/>
        <v>#N/A</v>
      </c>
      <c r="AQ87" s="120" t="e">
        <f t="shared" si="59"/>
        <v>#N/A</v>
      </c>
      <c r="AR87" s="120" t="e">
        <f t="shared" si="41"/>
        <v>#N/A</v>
      </c>
      <c r="AS87" s="121">
        <f t="shared" si="48"/>
        <v>1</v>
      </c>
      <c r="AT87" s="120" t="str">
        <f t="shared" si="49"/>
        <v> </v>
      </c>
      <c r="AU87" s="120" t="str">
        <f t="shared" si="50"/>
        <v> </v>
      </c>
      <c r="AV87" s="120" t="e">
        <f t="shared" si="60"/>
        <v>#N/A</v>
      </c>
      <c r="AW87" s="120" t="e">
        <f t="shared" si="61"/>
        <v>#N/A</v>
      </c>
      <c r="AX87" s="120">
        <f t="shared" si="62"/>
      </c>
      <c r="AY87" s="120" t="e">
        <f t="shared" si="63"/>
        <v>#N/A</v>
      </c>
      <c r="AZ87" s="120" t="e">
        <f>VLOOKUP(AY87,'排出係数表'!$A$4:$C$202,2,FALSE)</f>
        <v>#N/A</v>
      </c>
      <c r="BA87" s="120" t="e">
        <f t="shared" si="64"/>
        <v>#N/A</v>
      </c>
      <c r="BB87" s="120" t="e">
        <f>VLOOKUP(AY87,'排出係数表'!$A$4:$C$202,3,FALSE)</f>
        <v>#N/A</v>
      </c>
      <c r="BC87" s="120" t="e">
        <f t="shared" si="65"/>
        <v>#N/A</v>
      </c>
      <c r="BD87" s="120">
        <f t="shared" si="76"/>
        <v>1</v>
      </c>
      <c r="BE87" s="122">
        <f t="shared" si="66"/>
      </c>
      <c r="BF87" s="123" t="e">
        <f t="shared" si="51"/>
        <v>#VALUE!</v>
      </c>
      <c r="BG87" s="122">
        <f t="shared" si="77"/>
      </c>
      <c r="BH87" s="120" t="e">
        <f t="shared" si="78"/>
        <v>#VALUE!</v>
      </c>
      <c r="BI87" s="120" t="e">
        <f t="shared" si="79"/>
        <v>#VALUE!</v>
      </c>
      <c r="BJ87" s="122" t="e">
        <f>VLOOKUP(AY87,'排出係数表'!$A$4:$D$202,4)</f>
        <v>#N/A</v>
      </c>
      <c r="BK87" s="257">
        <f t="shared" si="38"/>
      </c>
    </row>
    <row r="88" spans="1:63" s="124" customFormat="1" ht="13.5" customHeight="1">
      <c r="A88" s="120"/>
      <c r="B88" s="120"/>
      <c r="C88" s="155"/>
      <c r="D88" s="155"/>
      <c r="E88" s="155"/>
      <c r="F88" s="155"/>
      <c r="G88" s="156"/>
      <c r="H88" s="157"/>
      <c r="I88" s="155"/>
      <c r="J88" s="155"/>
      <c r="K88" s="158"/>
      <c r="L88" s="159"/>
      <c r="M88" s="244"/>
      <c r="N88" s="155"/>
      <c r="O88" s="345">
        <f t="shared" si="67"/>
      </c>
      <c r="P88" s="345">
        <f t="shared" si="52"/>
      </c>
      <c r="Q88" s="508"/>
      <c r="R88" s="346"/>
      <c r="S88" s="347"/>
      <c r="T88" s="348"/>
      <c r="U88" s="347"/>
      <c r="V88" s="348"/>
      <c r="W88" s="347"/>
      <c r="X88" s="348"/>
      <c r="Y88" s="347"/>
      <c r="Z88" s="348"/>
      <c r="AA88" s="340" t="e">
        <f t="shared" si="53"/>
        <v>#N/A</v>
      </c>
      <c r="AB88" s="339">
        <f t="shared" si="68"/>
      </c>
      <c r="AC88" s="339">
        <f t="shared" si="69"/>
      </c>
      <c r="AD88" s="255">
        <f t="shared" si="70"/>
      </c>
      <c r="AE88" s="256">
        <f t="shared" si="71"/>
      </c>
      <c r="AF88" s="256">
        <f t="shared" si="72"/>
      </c>
      <c r="AG88" s="255">
        <f t="shared" si="73"/>
      </c>
      <c r="AH88" s="255">
        <f t="shared" si="54"/>
      </c>
      <c r="AI88" s="255">
        <f t="shared" si="74"/>
      </c>
      <c r="AJ88" s="255">
        <f t="shared" si="75"/>
      </c>
      <c r="AK88" s="255">
        <f t="shared" si="55"/>
      </c>
      <c r="AL88" s="255">
        <f t="shared" si="56"/>
      </c>
      <c r="AM88" s="120">
        <f ca="1" t="shared" si="46"/>
        <v>0</v>
      </c>
      <c r="AN88" s="120" t="e">
        <f t="shared" si="57"/>
        <v>#N/A</v>
      </c>
      <c r="AO88" s="120">
        <f>ROWS($AO$4:AO88)-1</f>
        <v>84</v>
      </c>
      <c r="AP88" s="255" t="e">
        <f t="shared" si="58"/>
        <v>#N/A</v>
      </c>
      <c r="AQ88" s="120" t="e">
        <f t="shared" si="59"/>
        <v>#N/A</v>
      </c>
      <c r="AR88" s="120" t="e">
        <f t="shared" si="41"/>
        <v>#N/A</v>
      </c>
      <c r="AS88" s="121">
        <f t="shared" si="48"/>
        <v>1</v>
      </c>
      <c r="AT88" s="120" t="str">
        <f t="shared" si="49"/>
        <v> </v>
      </c>
      <c r="AU88" s="120" t="str">
        <f t="shared" si="50"/>
        <v> </v>
      </c>
      <c r="AV88" s="120" t="e">
        <f t="shared" si="60"/>
        <v>#N/A</v>
      </c>
      <c r="AW88" s="120" t="e">
        <f t="shared" si="61"/>
        <v>#N/A</v>
      </c>
      <c r="AX88" s="120">
        <f t="shared" si="62"/>
      </c>
      <c r="AY88" s="120" t="e">
        <f t="shared" si="63"/>
        <v>#N/A</v>
      </c>
      <c r="AZ88" s="120" t="e">
        <f>VLOOKUP(AY88,'排出係数表'!$A$4:$C$202,2,FALSE)</f>
        <v>#N/A</v>
      </c>
      <c r="BA88" s="120" t="e">
        <f t="shared" si="64"/>
        <v>#N/A</v>
      </c>
      <c r="BB88" s="120" t="e">
        <f>VLOOKUP(AY88,'排出係数表'!$A$4:$C$202,3,FALSE)</f>
        <v>#N/A</v>
      </c>
      <c r="BC88" s="120" t="e">
        <f t="shared" si="65"/>
        <v>#N/A</v>
      </c>
      <c r="BD88" s="120">
        <f t="shared" si="76"/>
        <v>1</v>
      </c>
      <c r="BE88" s="122">
        <f t="shared" si="66"/>
      </c>
      <c r="BF88" s="123" t="e">
        <f t="shared" si="51"/>
        <v>#VALUE!</v>
      </c>
      <c r="BG88" s="122">
        <f t="shared" si="77"/>
      </c>
      <c r="BH88" s="120" t="e">
        <f t="shared" si="78"/>
        <v>#VALUE!</v>
      </c>
      <c r="BI88" s="120" t="e">
        <f t="shared" si="79"/>
        <v>#VALUE!</v>
      </c>
      <c r="BJ88" s="122" t="e">
        <f>VLOOKUP(AY88,'排出係数表'!$A$4:$D$202,4)</f>
        <v>#N/A</v>
      </c>
      <c r="BK88" s="257">
        <f t="shared" si="38"/>
      </c>
    </row>
    <row r="89" spans="1:63" s="124" customFormat="1" ht="13.5" customHeight="1">
      <c r="A89" s="120"/>
      <c r="B89" s="120"/>
      <c r="C89" s="155"/>
      <c r="D89" s="155"/>
      <c r="E89" s="155"/>
      <c r="F89" s="155"/>
      <c r="G89" s="156"/>
      <c r="H89" s="157"/>
      <c r="I89" s="155"/>
      <c r="J89" s="155"/>
      <c r="K89" s="158"/>
      <c r="L89" s="159"/>
      <c r="M89" s="244"/>
      <c r="N89" s="155"/>
      <c r="O89" s="345">
        <f t="shared" si="67"/>
      </c>
      <c r="P89" s="345">
        <f t="shared" si="52"/>
      </c>
      <c r="Q89" s="508"/>
      <c r="R89" s="346"/>
      <c r="S89" s="347"/>
      <c r="T89" s="348"/>
      <c r="U89" s="347"/>
      <c r="V89" s="348"/>
      <c r="W89" s="347"/>
      <c r="X89" s="348"/>
      <c r="Y89" s="347"/>
      <c r="Z89" s="348"/>
      <c r="AA89" s="340" t="e">
        <f t="shared" si="53"/>
        <v>#N/A</v>
      </c>
      <c r="AB89" s="339">
        <f t="shared" si="68"/>
      </c>
      <c r="AC89" s="339">
        <f t="shared" si="69"/>
      </c>
      <c r="AD89" s="255">
        <f t="shared" si="70"/>
      </c>
      <c r="AE89" s="256">
        <f t="shared" si="71"/>
      </c>
      <c r="AF89" s="256">
        <f t="shared" si="72"/>
      </c>
      <c r="AG89" s="255">
        <f t="shared" si="73"/>
      </c>
      <c r="AH89" s="255">
        <f t="shared" si="54"/>
      </c>
      <c r="AI89" s="255">
        <f t="shared" si="74"/>
      </c>
      <c r="AJ89" s="255">
        <f t="shared" si="75"/>
      </c>
      <c r="AK89" s="255">
        <f t="shared" si="55"/>
      </c>
      <c r="AL89" s="255">
        <f t="shared" si="56"/>
      </c>
      <c r="AM89" s="120">
        <f ca="1" t="shared" si="46"/>
        <v>0</v>
      </c>
      <c r="AN89" s="120" t="e">
        <f t="shared" si="57"/>
        <v>#N/A</v>
      </c>
      <c r="AO89" s="120">
        <f>ROWS($AO$4:AO89)-1</f>
        <v>85</v>
      </c>
      <c r="AP89" s="255" t="e">
        <f t="shared" si="58"/>
        <v>#N/A</v>
      </c>
      <c r="AQ89" s="120" t="e">
        <f t="shared" si="59"/>
        <v>#N/A</v>
      </c>
      <c r="AR89" s="120" t="e">
        <f t="shared" si="41"/>
        <v>#N/A</v>
      </c>
      <c r="AS89" s="121">
        <f t="shared" si="48"/>
        <v>1</v>
      </c>
      <c r="AT89" s="120" t="str">
        <f t="shared" si="49"/>
        <v> </v>
      </c>
      <c r="AU89" s="120" t="str">
        <f t="shared" si="50"/>
        <v> </v>
      </c>
      <c r="AV89" s="120" t="e">
        <f t="shared" si="60"/>
        <v>#N/A</v>
      </c>
      <c r="AW89" s="120" t="e">
        <f t="shared" si="61"/>
        <v>#N/A</v>
      </c>
      <c r="AX89" s="120">
        <f t="shared" si="62"/>
      </c>
      <c r="AY89" s="120" t="e">
        <f t="shared" si="63"/>
        <v>#N/A</v>
      </c>
      <c r="AZ89" s="120" t="e">
        <f>VLOOKUP(AY89,'排出係数表'!$A$4:$C$202,2,FALSE)</f>
        <v>#N/A</v>
      </c>
      <c r="BA89" s="120" t="e">
        <f t="shared" si="64"/>
        <v>#N/A</v>
      </c>
      <c r="BB89" s="120" t="e">
        <f>VLOOKUP(AY89,'排出係数表'!$A$4:$C$202,3,FALSE)</f>
        <v>#N/A</v>
      </c>
      <c r="BC89" s="120" t="e">
        <f t="shared" si="65"/>
        <v>#N/A</v>
      </c>
      <c r="BD89" s="120">
        <f t="shared" si="76"/>
        <v>1</v>
      </c>
      <c r="BE89" s="122">
        <f t="shared" si="66"/>
      </c>
      <c r="BF89" s="123" t="e">
        <f t="shared" si="51"/>
        <v>#VALUE!</v>
      </c>
      <c r="BG89" s="122">
        <f t="shared" si="77"/>
      </c>
      <c r="BH89" s="120" t="e">
        <f t="shared" si="78"/>
        <v>#VALUE!</v>
      </c>
      <c r="BI89" s="120" t="e">
        <f t="shared" si="79"/>
        <v>#VALUE!</v>
      </c>
      <c r="BJ89" s="122" t="e">
        <f>VLOOKUP(AY89,'排出係数表'!$A$4:$D$202,4)</f>
        <v>#N/A</v>
      </c>
      <c r="BK89" s="257">
        <f aca="true" t="shared" si="80" ref="BK89:BK152">LEFT(K89,4)&amp;LEFT(L89,2)</f>
      </c>
    </row>
    <row r="90" spans="1:63" s="124" customFormat="1" ht="13.5" customHeight="1">
      <c r="A90" s="120"/>
      <c r="B90" s="120"/>
      <c r="C90" s="155"/>
      <c r="D90" s="155"/>
      <c r="E90" s="155"/>
      <c r="F90" s="155"/>
      <c r="G90" s="156"/>
      <c r="H90" s="157"/>
      <c r="I90" s="155"/>
      <c r="J90" s="155"/>
      <c r="K90" s="158"/>
      <c r="L90" s="159"/>
      <c r="M90" s="244"/>
      <c r="N90" s="155"/>
      <c r="O90" s="345">
        <f t="shared" si="67"/>
      </c>
      <c r="P90" s="345">
        <f t="shared" si="52"/>
      </c>
      <c r="Q90" s="508"/>
      <c r="R90" s="346"/>
      <c r="S90" s="347"/>
      <c r="T90" s="348"/>
      <c r="U90" s="347"/>
      <c r="V90" s="348"/>
      <c r="W90" s="347"/>
      <c r="X90" s="348"/>
      <c r="Y90" s="347"/>
      <c r="Z90" s="348"/>
      <c r="AA90" s="340" t="e">
        <f t="shared" si="53"/>
        <v>#N/A</v>
      </c>
      <c r="AB90" s="339">
        <f t="shared" si="68"/>
      </c>
      <c r="AC90" s="339">
        <f t="shared" si="69"/>
      </c>
      <c r="AD90" s="255">
        <f t="shared" si="70"/>
      </c>
      <c r="AE90" s="256">
        <f t="shared" si="71"/>
      </c>
      <c r="AF90" s="256">
        <f t="shared" si="72"/>
      </c>
      <c r="AG90" s="255">
        <f t="shared" si="73"/>
      </c>
      <c r="AH90" s="255">
        <f t="shared" si="54"/>
      </c>
      <c r="AI90" s="255">
        <f t="shared" si="74"/>
      </c>
      <c r="AJ90" s="255">
        <f t="shared" si="75"/>
      </c>
      <c r="AK90" s="255">
        <f t="shared" si="55"/>
      </c>
      <c r="AL90" s="255">
        <f t="shared" si="56"/>
      </c>
      <c r="AM90" s="120">
        <f ca="1" t="shared" si="46"/>
        <v>0</v>
      </c>
      <c r="AN90" s="120" t="e">
        <f t="shared" si="57"/>
        <v>#N/A</v>
      </c>
      <c r="AO90" s="120">
        <f>ROWS($AO$4:AO90)-1</f>
        <v>86</v>
      </c>
      <c r="AP90" s="255" t="e">
        <f t="shared" si="58"/>
        <v>#N/A</v>
      </c>
      <c r="AQ90" s="120" t="e">
        <f t="shared" si="59"/>
        <v>#N/A</v>
      </c>
      <c r="AR90" s="120" t="e">
        <f t="shared" si="41"/>
        <v>#N/A</v>
      </c>
      <c r="AS90" s="121">
        <f t="shared" si="48"/>
        <v>1</v>
      </c>
      <c r="AT90" s="120" t="str">
        <f t="shared" si="49"/>
        <v> </v>
      </c>
      <c r="AU90" s="120" t="str">
        <f t="shared" si="50"/>
        <v> </v>
      </c>
      <c r="AV90" s="120" t="e">
        <f t="shared" si="60"/>
        <v>#N/A</v>
      </c>
      <c r="AW90" s="120" t="e">
        <f t="shared" si="61"/>
        <v>#N/A</v>
      </c>
      <c r="AX90" s="120">
        <f t="shared" si="62"/>
      </c>
      <c r="AY90" s="120" t="e">
        <f t="shared" si="63"/>
        <v>#N/A</v>
      </c>
      <c r="AZ90" s="120" t="e">
        <f>VLOOKUP(AY90,'排出係数表'!$A$4:$C$202,2,FALSE)</f>
        <v>#N/A</v>
      </c>
      <c r="BA90" s="120" t="e">
        <f t="shared" si="64"/>
        <v>#N/A</v>
      </c>
      <c r="BB90" s="120" t="e">
        <f>VLOOKUP(AY90,'排出係数表'!$A$4:$C$202,3,FALSE)</f>
        <v>#N/A</v>
      </c>
      <c r="BC90" s="120" t="e">
        <f t="shared" si="65"/>
        <v>#N/A</v>
      </c>
      <c r="BD90" s="120">
        <f t="shared" si="76"/>
        <v>1</v>
      </c>
      <c r="BE90" s="122">
        <f t="shared" si="66"/>
      </c>
      <c r="BF90" s="123" t="e">
        <f t="shared" si="51"/>
        <v>#VALUE!</v>
      </c>
      <c r="BG90" s="122">
        <f t="shared" si="77"/>
      </c>
      <c r="BH90" s="120" t="e">
        <f t="shared" si="78"/>
        <v>#VALUE!</v>
      </c>
      <c r="BI90" s="120" t="e">
        <f t="shared" si="79"/>
        <v>#VALUE!</v>
      </c>
      <c r="BJ90" s="122" t="e">
        <f>VLOOKUP(AY90,'排出係数表'!$A$4:$D$202,4)</f>
        <v>#N/A</v>
      </c>
      <c r="BK90" s="257">
        <f t="shared" si="80"/>
      </c>
    </row>
    <row r="91" spans="1:63" s="124" customFormat="1" ht="13.5" customHeight="1">
      <c r="A91" s="120"/>
      <c r="B91" s="120"/>
      <c r="C91" s="155"/>
      <c r="D91" s="155"/>
      <c r="E91" s="155"/>
      <c r="F91" s="155"/>
      <c r="G91" s="156"/>
      <c r="H91" s="157"/>
      <c r="I91" s="155"/>
      <c r="J91" s="155"/>
      <c r="K91" s="158"/>
      <c r="L91" s="159"/>
      <c r="M91" s="244"/>
      <c r="N91" s="155"/>
      <c r="O91" s="345">
        <f t="shared" si="67"/>
      </c>
      <c r="P91" s="345">
        <f t="shared" si="52"/>
      </c>
      <c r="Q91" s="508"/>
      <c r="R91" s="346"/>
      <c r="S91" s="347"/>
      <c r="T91" s="348"/>
      <c r="U91" s="347"/>
      <c r="V91" s="348"/>
      <c r="W91" s="347"/>
      <c r="X91" s="348"/>
      <c r="Y91" s="347"/>
      <c r="Z91" s="348"/>
      <c r="AA91" s="340" t="e">
        <f t="shared" si="53"/>
        <v>#N/A</v>
      </c>
      <c r="AB91" s="339">
        <f t="shared" si="68"/>
      </c>
      <c r="AC91" s="339">
        <f t="shared" si="69"/>
      </c>
      <c r="AD91" s="255">
        <f t="shared" si="70"/>
      </c>
      <c r="AE91" s="256">
        <f t="shared" si="71"/>
      </c>
      <c r="AF91" s="256">
        <f t="shared" si="72"/>
      </c>
      <c r="AG91" s="255">
        <f t="shared" si="73"/>
      </c>
      <c r="AH91" s="255">
        <f t="shared" si="54"/>
      </c>
      <c r="AI91" s="255">
        <f t="shared" si="74"/>
      </c>
      <c r="AJ91" s="255">
        <f t="shared" si="75"/>
      </c>
      <c r="AK91" s="255">
        <f t="shared" si="55"/>
      </c>
      <c r="AL91" s="255">
        <f t="shared" si="56"/>
      </c>
      <c r="AM91" s="120">
        <f ca="1" t="shared" si="46"/>
        <v>0</v>
      </c>
      <c r="AN91" s="120" t="e">
        <f t="shared" si="57"/>
        <v>#N/A</v>
      </c>
      <c r="AO91" s="120">
        <f>ROWS($AO$4:AO91)-1</f>
        <v>87</v>
      </c>
      <c r="AP91" s="255" t="e">
        <f t="shared" si="58"/>
        <v>#N/A</v>
      </c>
      <c r="AQ91" s="120" t="e">
        <f t="shared" si="59"/>
        <v>#N/A</v>
      </c>
      <c r="AR91" s="120" t="e">
        <f t="shared" si="41"/>
        <v>#N/A</v>
      </c>
      <c r="AS91" s="121">
        <f t="shared" si="48"/>
        <v>1</v>
      </c>
      <c r="AT91" s="120" t="str">
        <f t="shared" si="49"/>
        <v> </v>
      </c>
      <c r="AU91" s="120" t="str">
        <f t="shared" si="50"/>
        <v> </v>
      </c>
      <c r="AV91" s="120" t="e">
        <f t="shared" si="60"/>
        <v>#N/A</v>
      </c>
      <c r="AW91" s="120" t="e">
        <f t="shared" si="61"/>
        <v>#N/A</v>
      </c>
      <c r="AX91" s="120">
        <f t="shared" si="62"/>
      </c>
      <c r="AY91" s="120" t="e">
        <f t="shared" si="63"/>
        <v>#N/A</v>
      </c>
      <c r="AZ91" s="120" t="e">
        <f>VLOOKUP(AY91,'排出係数表'!$A$4:$C$202,2,FALSE)</f>
        <v>#N/A</v>
      </c>
      <c r="BA91" s="120" t="e">
        <f t="shared" si="64"/>
        <v>#N/A</v>
      </c>
      <c r="BB91" s="120" t="e">
        <f>VLOOKUP(AY91,'排出係数表'!$A$4:$C$202,3,FALSE)</f>
        <v>#N/A</v>
      </c>
      <c r="BC91" s="120" t="e">
        <f t="shared" si="65"/>
        <v>#N/A</v>
      </c>
      <c r="BD91" s="120">
        <f t="shared" si="76"/>
        <v>1</v>
      </c>
      <c r="BE91" s="122">
        <f t="shared" si="66"/>
      </c>
      <c r="BF91" s="123" t="e">
        <f t="shared" si="51"/>
        <v>#VALUE!</v>
      </c>
      <c r="BG91" s="122">
        <f t="shared" si="77"/>
      </c>
      <c r="BH91" s="120" t="e">
        <f t="shared" si="78"/>
        <v>#VALUE!</v>
      </c>
      <c r="BI91" s="120" t="e">
        <f t="shared" si="79"/>
        <v>#VALUE!</v>
      </c>
      <c r="BJ91" s="122" t="e">
        <f>VLOOKUP(AY91,'排出係数表'!$A$4:$D$202,4)</f>
        <v>#N/A</v>
      </c>
      <c r="BK91" s="257">
        <f t="shared" si="80"/>
      </c>
    </row>
    <row r="92" spans="1:63" s="124" customFormat="1" ht="13.5" customHeight="1">
      <c r="A92" s="120"/>
      <c r="B92" s="120"/>
      <c r="C92" s="155"/>
      <c r="D92" s="155"/>
      <c r="E92" s="155"/>
      <c r="F92" s="155"/>
      <c r="G92" s="156"/>
      <c r="H92" s="157"/>
      <c r="I92" s="155"/>
      <c r="J92" s="155"/>
      <c r="K92" s="158"/>
      <c r="L92" s="159"/>
      <c r="M92" s="244"/>
      <c r="N92" s="155"/>
      <c r="O92" s="345">
        <f t="shared" si="67"/>
      </c>
      <c r="P92" s="345">
        <f t="shared" si="52"/>
      </c>
      <c r="Q92" s="508"/>
      <c r="R92" s="346"/>
      <c r="S92" s="347"/>
      <c r="T92" s="348"/>
      <c r="U92" s="347"/>
      <c r="V92" s="348"/>
      <c r="W92" s="347"/>
      <c r="X92" s="348"/>
      <c r="Y92" s="347"/>
      <c r="Z92" s="348"/>
      <c r="AA92" s="340" t="e">
        <f t="shared" si="53"/>
        <v>#N/A</v>
      </c>
      <c r="AB92" s="339">
        <f t="shared" si="68"/>
      </c>
      <c r="AC92" s="339">
        <f t="shared" si="69"/>
      </c>
      <c r="AD92" s="255">
        <f t="shared" si="70"/>
      </c>
      <c r="AE92" s="256">
        <f t="shared" si="71"/>
      </c>
      <c r="AF92" s="256">
        <f t="shared" si="72"/>
      </c>
      <c r="AG92" s="255">
        <f t="shared" si="73"/>
      </c>
      <c r="AH92" s="255">
        <f t="shared" si="54"/>
      </c>
      <c r="AI92" s="255">
        <f t="shared" si="74"/>
      </c>
      <c r="AJ92" s="255">
        <f t="shared" si="75"/>
      </c>
      <c r="AK92" s="255">
        <f t="shared" si="55"/>
      </c>
      <c r="AL92" s="255">
        <f t="shared" si="56"/>
      </c>
      <c r="AM92" s="120">
        <f ca="1" t="shared" si="46"/>
        <v>0</v>
      </c>
      <c r="AN92" s="120" t="e">
        <f t="shared" si="57"/>
        <v>#N/A</v>
      </c>
      <c r="AO92" s="120">
        <f>ROWS($AO$4:AO92)-1</f>
        <v>88</v>
      </c>
      <c r="AP92" s="255" t="e">
        <f t="shared" si="58"/>
        <v>#N/A</v>
      </c>
      <c r="AQ92" s="120" t="e">
        <f t="shared" si="59"/>
        <v>#N/A</v>
      </c>
      <c r="AR92" s="120" t="e">
        <f t="shared" si="41"/>
        <v>#N/A</v>
      </c>
      <c r="AS92" s="121">
        <f t="shared" si="48"/>
        <v>1</v>
      </c>
      <c r="AT92" s="120" t="str">
        <f t="shared" si="49"/>
        <v> </v>
      </c>
      <c r="AU92" s="120" t="str">
        <f t="shared" si="50"/>
        <v> </v>
      </c>
      <c r="AV92" s="120" t="e">
        <f t="shared" si="60"/>
        <v>#N/A</v>
      </c>
      <c r="AW92" s="120" t="e">
        <f t="shared" si="61"/>
        <v>#N/A</v>
      </c>
      <c r="AX92" s="120">
        <f t="shared" si="62"/>
      </c>
      <c r="AY92" s="120" t="e">
        <f t="shared" si="63"/>
        <v>#N/A</v>
      </c>
      <c r="AZ92" s="120" t="e">
        <f>VLOOKUP(AY92,'排出係数表'!$A$4:$C$202,2,FALSE)</f>
        <v>#N/A</v>
      </c>
      <c r="BA92" s="120" t="e">
        <f t="shared" si="64"/>
        <v>#N/A</v>
      </c>
      <c r="BB92" s="120" t="e">
        <f>VLOOKUP(AY92,'排出係数表'!$A$4:$C$202,3,FALSE)</f>
        <v>#N/A</v>
      </c>
      <c r="BC92" s="120" t="e">
        <f t="shared" si="65"/>
        <v>#N/A</v>
      </c>
      <c r="BD92" s="120">
        <f t="shared" si="76"/>
        <v>1</v>
      </c>
      <c r="BE92" s="122">
        <f t="shared" si="66"/>
      </c>
      <c r="BF92" s="123" t="e">
        <f t="shared" si="51"/>
        <v>#VALUE!</v>
      </c>
      <c r="BG92" s="122">
        <f t="shared" si="77"/>
      </c>
      <c r="BH92" s="120" t="e">
        <f t="shared" si="78"/>
        <v>#VALUE!</v>
      </c>
      <c r="BI92" s="120" t="e">
        <f t="shared" si="79"/>
        <v>#VALUE!</v>
      </c>
      <c r="BJ92" s="122" t="e">
        <f>VLOOKUP(AY92,'排出係数表'!$A$4:$D$202,4)</f>
        <v>#N/A</v>
      </c>
      <c r="BK92" s="257">
        <f t="shared" si="80"/>
      </c>
    </row>
    <row r="93" spans="1:63" s="124" customFormat="1" ht="13.5" customHeight="1">
      <c r="A93" s="120"/>
      <c r="B93" s="120"/>
      <c r="C93" s="155"/>
      <c r="D93" s="155"/>
      <c r="E93" s="155"/>
      <c r="F93" s="155"/>
      <c r="G93" s="156"/>
      <c r="H93" s="157"/>
      <c r="I93" s="155"/>
      <c r="J93" s="155"/>
      <c r="K93" s="158"/>
      <c r="L93" s="159"/>
      <c r="M93" s="244"/>
      <c r="N93" s="155"/>
      <c r="O93" s="345">
        <f t="shared" si="67"/>
      </c>
      <c r="P93" s="345">
        <f t="shared" si="52"/>
      </c>
      <c r="Q93" s="508"/>
      <c r="R93" s="346"/>
      <c r="S93" s="347"/>
      <c r="T93" s="348"/>
      <c r="U93" s="347"/>
      <c r="V93" s="348"/>
      <c r="W93" s="347"/>
      <c r="X93" s="348"/>
      <c r="Y93" s="347"/>
      <c r="Z93" s="348"/>
      <c r="AA93" s="340" t="e">
        <f t="shared" si="53"/>
        <v>#N/A</v>
      </c>
      <c r="AB93" s="339">
        <f t="shared" si="68"/>
      </c>
      <c r="AC93" s="339">
        <f t="shared" si="69"/>
      </c>
      <c r="AD93" s="255">
        <f t="shared" si="70"/>
      </c>
      <c r="AE93" s="256">
        <f t="shared" si="71"/>
      </c>
      <c r="AF93" s="256">
        <f t="shared" si="72"/>
      </c>
      <c r="AG93" s="255">
        <f t="shared" si="73"/>
      </c>
      <c r="AH93" s="255">
        <f t="shared" si="54"/>
      </c>
      <c r="AI93" s="255">
        <f t="shared" si="74"/>
      </c>
      <c r="AJ93" s="255">
        <f t="shared" si="75"/>
      </c>
      <c r="AK93" s="255">
        <f t="shared" si="55"/>
      </c>
      <c r="AL93" s="255">
        <f t="shared" si="56"/>
      </c>
      <c r="AM93" s="120">
        <f ca="1" t="shared" si="46"/>
        <v>0</v>
      </c>
      <c r="AN93" s="120" t="e">
        <f t="shared" si="57"/>
        <v>#N/A</v>
      </c>
      <c r="AO93" s="120">
        <f>ROWS($AO$4:AO93)-1</f>
        <v>89</v>
      </c>
      <c r="AP93" s="255" t="e">
        <f t="shared" si="58"/>
        <v>#N/A</v>
      </c>
      <c r="AQ93" s="120" t="e">
        <f t="shared" si="59"/>
        <v>#N/A</v>
      </c>
      <c r="AR93" s="120" t="e">
        <f t="shared" si="41"/>
        <v>#N/A</v>
      </c>
      <c r="AS93" s="121">
        <f t="shared" si="48"/>
        <v>1</v>
      </c>
      <c r="AT93" s="120" t="str">
        <f t="shared" si="49"/>
        <v> </v>
      </c>
      <c r="AU93" s="120" t="str">
        <f t="shared" si="50"/>
        <v> </v>
      </c>
      <c r="AV93" s="120" t="e">
        <f t="shared" si="60"/>
        <v>#N/A</v>
      </c>
      <c r="AW93" s="120" t="e">
        <f t="shared" si="61"/>
        <v>#N/A</v>
      </c>
      <c r="AX93" s="120">
        <f t="shared" si="62"/>
      </c>
      <c r="AY93" s="120" t="e">
        <f t="shared" si="63"/>
        <v>#N/A</v>
      </c>
      <c r="AZ93" s="120" t="e">
        <f>VLOOKUP(AY93,'排出係数表'!$A$4:$C$202,2,FALSE)</f>
        <v>#N/A</v>
      </c>
      <c r="BA93" s="120" t="e">
        <f t="shared" si="64"/>
        <v>#N/A</v>
      </c>
      <c r="BB93" s="120" t="e">
        <f>VLOOKUP(AY93,'排出係数表'!$A$4:$C$202,3,FALSE)</f>
        <v>#N/A</v>
      </c>
      <c r="BC93" s="120" t="e">
        <f t="shared" si="65"/>
        <v>#N/A</v>
      </c>
      <c r="BD93" s="120">
        <f t="shared" si="76"/>
        <v>1</v>
      </c>
      <c r="BE93" s="122">
        <f t="shared" si="66"/>
      </c>
      <c r="BF93" s="123" t="e">
        <f t="shared" si="51"/>
        <v>#VALUE!</v>
      </c>
      <c r="BG93" s="122">
        <f t="shared" si="77"/>
      </c>
      <c r="BH93" s="120" t="e">
        <f t="shared" si="78"/>
        <v>#VALUE!</v>
      </c>
      <c r="BI93" s="120" t="e">
        <f t="shared" si="79"/>
        <v>#VALUE!</v>
      </c>
      <c r="BJ93" s="122" t="e">
        <f>VLOOKUP(AY93,'排出係数表'!$A$4:$D$202,4)</f>
        <v>#N/A</v>
      </c>
      <c r="BK93" s="257">
        <f t="shared" si="80"/>
      </c>
    </row>
    <row r="94" spans="1:63" s="124" customFormat="1" ht="13.5" customHeight="1">
      <c r="A94" s="120"/>
      <c r="B94" s="120"/>
      <c r="C94" s="155"/>
      <c r="D94" s="155"/>
      <c r="E94" s="155"/>
      <c r="F94" s="155"/>
      <c r="G94" s="156"/>
      <c r="H94" s="157"/>
      <c r="I94" s="155"/>
      <c r="J94" s="155"/>
      <c r="K94" s="158"/>
      <c r="L94" s="159"/>
      <c r="M94" s="244"/>
      <c r="N94" s="155"/>
      <c r="O94" s="345">
        <f t="shared" si="67"/>
      </c>
      <c r="P94" s="345">
        <f t="shared" si="52"/>
      </c>
      <c r="Q94" s="508"/>
      <c r="R94" s="346"/>
      <c r="S94" s="347"/>
      <c r="T94" s="348"/>
      <c r="U94" s="347"/>
      <c r="V94" s="348"/>
      <c r="W94" s="347"/>
      <c r="X94" s="348"/>
      <c r="Y94" s="347"/>
      <c r="Z94" s="348"/>
      <c r="AA94" s="340" t="e">
        <f t="shared" si="53"/>
        <v>#N/A</v>
      </c>
      <c r="AB94" s="339">
        <f t="shared" si="68"/>
      </c>
      <c r="AC94" s="339">
        <f t="shared" si="69"/>
      </c>
      <c r="AD94" s="255">
        <f t="shared" si="70"/>
      </c>
      <c r="AE94" s="256">
        <f t="shared" si="71"/>
      </c>
      <c r="AF94" s="256">
        <f t="shared" si="72"/>
      </c>
      <c r="AG94" s="255">
        <f t="shared" si="73"/>
      </c>
      <c r="AH94" s="255">
        <f t="shared" si="54"/>
      </c>
      <c r="AI94" s="255">
        <f t="shared" si="74"/>
      </c>
      <c r="AJ94" s="255">
        <f t="shared" si="75"/>
      </c>
      <c r="AK94" s="255">
        <f t="shared" si="55"/>
      </c>
      <c r="AL94" s="255">
        <f t="shared" si="56"/>
      </c>
      <c r="AM94" s="120">
        <f ca="1" t="shared" si="46"/>
        <v>0</v>
      </c>
      <c r="AN94" s="120" t="e">
        <f t="shared" si="57"/>
        <v>#N/A</v>
      </c>
      <c r="AO94" s="120">
        <f>ROWS($AO$4:AO94)-1</f>
        <v>90</v>
      </c>
      <c r="AP94" s="255" t="e">
        <f t="shared" si="58"/>
        <v>#N/A</v>
      </c>
      <c r="AQ94" s="120" t="e">
        <f t="shared" si="59"/>
        <v>#N/A</v>
      </c>
      <c r="AR94" s="120" t="e">
        <f t="shared" si="41"/>
        <v>#N/A</v>
      </c>
      <c r="AS94" s="121">
        <f t="shared" si="48"/>
        <v>1</v>
      </c>
      <c r="AT94" s="120" t="str">
        <f t="shared" si="49"/>
        <v> </v>
      </c>
      <c r="AU94" s="120" t="str">
        <f t="shared" si="50"/>
        <v> </v>
      </c>
      <c r="AV94" s="120" t="e">
        <f t="shared" si="60"/>
        <v>#N/A</v>
      </c>
      <c r="AW94" s="120" t="e">
        <f t="shared" si="61"/>
        <v>#N/A</v>
      </c>
      <c r="AX94" s="120">
        <f t="shared" si="62"/>
      </c>
      <c r="AY94" s="120" t="e">
        <f t="shared" si="63"/>
        <v>#N/A</v>
      </c>
      <c r="AZ94" s="120" t="e">
        <f>VLOOKUP(AY94,'排出係数表'!$A$4:$C$202,2,FALSE)</f>
        <v>#N/A</v>
      </c>
      <c r="BA94" s="120" t="e">
        <f t="shared" si="64"/>
        <v>#N/A</v>
      </c>
      <c r="BB94" s="120" t="e">
        <f>VLOOKUP(AY94,'排出係数表'!$A$4:$C$202,3,FALSE)</f>
        <v>#N/A</v>
      </c>
      <c r="BC94" s="120" t="e">
        <f t="shared" si="65"/>
        <v>#N/A</v>
      </c>
      <c r="BD94" s="120">
        <f t="shared" si="76"/>
        <v>1</v>
      </c>
      <c r="BE94" s="122">
        <f t="shared" si="66"/>
      </c>
      <c r="BF94" s="123" t="e">
        <f t="shared" si="51"/>
        <v>#VALUE!</v>
      </c>
      <c r="BG94" s="122">
        <f t="shared" si="77"/>
      </c>
      <c r="BH94" s="120" t="e">
        <f t="shared" si="78"/>
        <v>#VALUE!</v>
      </c>
      <c r="BI94" s="120" t="e">
        <f t="shared" si="79"/>
        <v>#VALUE!</v>
      </c>
      <c r="BJ94" s="122" t="e">
        <f>VLOOKUP(AY94,'排出係数表'!$A$4:$D$202,4)</f>
        <v>#N/A</v>
      </c>
      <c r="BK94" s="257">
        <f t="shared" si="80"/>
      </c>
    </row>
    <row r="95" spans="1:63" s="124" customFormat="1" ht="13.5" customHeight="1">
      <c r="A95" s="120"/>
      <c r="B95" s="120"/>
      <c r="C95" s="155"/>
      <c r="D95" s="155"/>
      <c r="E95" s="155"/>
      <c r="F95" s="155"/>
      <c r="G95" s="156"/>
      <c r="H95" s="157"/>
      <c r="I95" s="155"/>
      <c r="J95" s="155"/>
      <c r="K95" s="158"/>
      <c r="L95" s="159"/>
      <c r="M95" s="244"/>
      <c r="N95" s="155"/>
      <c r="O95" s="345">
        <f t="shared" si="67"/>
      </c>
      <c r="P95" s="345">
        <f t="shared" si="52"/>
      </c>
      <c r="Q95" s="508"/>
      <c r="R95" s="346"/>
      <c r="S95" s="347"/>
      <c r="T95" s="348"/>
      <c r="U95" s="347"/>
      <c r="V95" s="348"/>
      <c r="W95" s="347"/>
      <c r="X95" s="348"/>
      <c r="Y95" s="347"/>
      <c r="Z95" s="348"/>
      <c r="AA95" s="340" t="e">
        <f t="shared" si="53"/>
        <v>#N/A</v>
      </c>
      <c r="AB95" s="339">
        <f t="shared" si="68"/>
      </c>
      <c r="AC95" s="339">
        <f t="shared" si="69"/>
      </c>
      <c r="AD95" s="255">
        <f t="shared" si="70"/>
      </c>
      <c r="AE95" s="256">
        <f t="shared" si="71"/>
      </c>
      <c r="AF95" s="256">
        <f t="shared" si="72"/>
      </c>
      <c r="AG95" s="255">
        <f t="shared" si="73"/>
      </c>
      <c r="AH95" s="255">
        <f t="shared" si="54"/>
      </c>
      <c r="AI95" s="255">
        <f t="shared" si="74"/>
      </c>
      <c r="AJ95" s="255">
        <f t="shared" si="75"/>
      </c>
      <c r="AK95" s="255">
        <f t="shared" si="55"/>
      </c>
      <c r="AL95" s="255">
        <f t="shared" si="56"/>
      </c>
      <c r="AM95" s="120">
        <f ca="1" t="shared" si="46"/>
        <v>0</v>
      </c>
      <c r="AN95" s="120" t="e">
        <f t="shared" si="57"/>
        <v>#N/A</v>
      </c>
      <c r="AO95" s="120">
        <f>ROWS($AO$4:AO95)-1</f>
        <v>91</v>
      </c>
      <c r="AP95" s="255" t="e">
        <f t="shared" si="58"/>
        <v>#N/A</v>
      </c>
      <c r="AQ95" s="120" t="e">
        <f t="shared" si="59"/>
        <v>#N/A</v>
      </c>
      <c r="AR95" s="120" t="e">
        <f t="shared" si="41"/>
        <v>#N/A</v>
      </c>
      <c r="AS95" s="121">
        <f t="shared" si="48"/>
        <v>1</v>
      </c>
      <c r="AT95" s="120" t="str">
        <f t="shared" si="49"/>
        <v> </v>
      </c>
      <c r="AU95" s="120" t="str">
        <f t="shared" si="50"/>
        <v> </v>
      </c>
      <c r="AV95" s="120" t="e">
        <f t="shared" si="60"/>
        <v>#N/A</v>
      </c>
      <c r="AW95" s="120" t="e">
        <f t="shared" si="61"/>
        <v>#N/A</v>
      </c>
      <c r="AX95" s="120">
        <f t="shared" si="62"/>
      </c>
      <c r="AY95" s="120" t="e">
        <f t="shared" si="63"/>
        <v>#N/A</v>
      </c>
      <c r="AZ95" s="120" t="e">
        <f>VLOOKUP(AY95,'排出係数表'!$A$4:$C$202,2,FALSE)</f>
        <v>#N/A</v>
      </c>
      <c r="BA95" s="120" t="e">
        <f t="shared" si="64"/>
        <v>#N/A</v>
      </c>
      <c r="BB95" s="120" t="e">
        <f>VLOOKUP(AY95,'排出係数表'!$A$4:$C$202,3,FALSE)</f>
        <v>#N/A</v>
      </c>
      <c r="BC95" s="120" t="e">
        <f t="shared" si="65"/>
        <v>#N/A</v>
      </c>
      <c r="BD95" s="120">
        <f t="shared" si="76"/>
        <v>1</v>
      </c>
      <c r="BE95" s="122">
        <f t="shared" si="66"/>
      </c>
      <c r="BF95" s="123" t="e">
        <f t="shared" si="51"/>
        <v>#VALUE!</v>
      </c>
      <c r="BG95" s="122">
        <f t="shared" si="77"/>
      </c>
      <c r="BH95" s="120" t="e">
        <f t="shared" si="78"/>
        <v>#VALUE!</v>
      </c>
      <c r="BI95" s="120" t="e">
        <f t="shared" si="79"/>
        <v>#VALUE!</v>
      </c>
      <c r="BJ95" s="122" t="e">
        <f>VLOOKUP(AY95,'排出係数表'!$A$4:$D$202,4)</f>
        <v>#N/A</v>
      </c>
      <c r="BK95" s="257">
        <f t="shared" si="80"/>
      </c>
    </row>
    <row r="96" spans="1:63" s="124" customFormat="1" ht="13.5" customHeight="1">
      <c r="A96" s="120"/>
      <c r="B96" s="120"/>
      <c r="C96" s="155"/>
      <c r="D96" s="155"/>
      <c r="E96" s="155"/>
      <c r="F96" s="155"/>
      <c r="G96" s="156"/>
      <c r="H96" s="157"/>
      <c r="I96" s="155"/>
      <c r="J96" s="155"/>
      <c r="K96" s="158"/>
      <c r="L96" s="159"/>
      <c r="M96" s="244"/>
      <c r="N96" s="155"/>
      <c r="O96" s="345">
        <f t="shared" si="67"/>
      </c>
      <c r="P96" s="345">
        <f t="shared" si="52"/>
      </c>
      <c r="Q96" s="508"/>
      <c r="R96" s="346"/>
      <c r="S96" s="347"/>
      <c r="T96" s="348"/>
      <c r="U96" s="347"/>
      <c r="V96" s="348"/>
      <c r="W96" s="347"/>
      <c r="X96" s="348"/>
      <c r="Y96" s="347"/>
      <c r="Z96" s="348"/>
      <c r="AA96" s="340" t="e">
        <f t="shared" si="53"/>
        <v>#N/A</v>
      </c>
      <c r="AB96" s="339">
        <f t="shared" si="68"/>
      </c>
      <c r="AC96" s="339">
        <f t="shared" si="69"/>
      </c>
      <c r="AD96" s="255">
        <f t="shared" si="70"/>
      </c>
      <c r="AE96" s="256">
        <f t="shared" si="71"/>
      </c>
      <c r="AF96" s="256">
        <f t="shared" si="72"/>
      </c>
      <c r="AG96" s="255">
        <f t="shared" si="73"/>
      </c>
      <c r="AH96" s="255">
        <f t="shared" si="54"/>
      </c>
      <c r="AI96" s="255">
        <f t="shared" si="74"/>
      </c>
      <c r="AJ96" s="255">
        <f t="shared" si="75"/>
      </c>
      <c r="AK96" s="255">
        <f t="shared" si="55"/>
      </c>
      <c r="AL96" s="255">
        <f t="shared" si="56"/>
      </c>
      <c r="AM96" s="120">
        <f ca="1" t="shared" si="46"/>
        <v>0</v>
      </c>
      <c r="AN96" s="120" t="e">
        <f t="shared" si="57"/>
        <v>#N/A</v>
      </c>
      <c r="AO96" s="120">
        <f>ROWS($AO$4:AO96)-1</f>
        <v>92</v>
      </c>
      <c r="AP96" s="255" t="e">
        <f t="shared" si="58"/>
        <v>#N/A</v>
      </c>
      <c r="AQ96" s="120" t="e">
        <f t="shared" si="59"/>
        <v>#N/A</v>
      </c>
      <c r="AR96" s="120" t="e">
        <f t="shared" si="41"/>
        <v>#N/A</v>
      </c>
      <c r="AS96" s="121">
        <f t="shared" si="48"/>
        <v>1</v>
      </c>
      <c r="AT96" s="120" t="str">
        <f t="shared" si="49"/>
        <v> </v>
      </c>
      <c r="AU96" s="120" t="str">
        <f t="shared" si="50"/>
        <v> </v>
      </c>
      <c r="AV96" s="120" t="e">
        <f t="shared" si="60"/>
        <v>#N/A</v>
      </c>
      <c r="AW96" s="120" t="e">
        <f t="shared" si="61"/>
        <v>#N/A</v>
      </c>
      <c r="AX96" s="120">
        <f t="shared" si="62"/>
      </c>
      <c r="AY96" s="120" t="e">
        <f t="shared" si="63"/>
        <v>#N/A</v>
      </c>
      <c r="AZ96" s="120" t="e">
        <f>VLOOKUP(AY96,'排出係数表'!$A$4:$C$202,2,FALSE)</f>
        <v>#N/A</v>
      </c>
      <c r="BA96" s="120" t="e">
        <f t="shared" si="64"/>
        <v>#N/A</v>
      </c>
      <c r="BB96" s="120" t="e">
        <f>VLOOKUP(AY96,'排出係数表'!$A$4:$C$202,3,FALSE)</f>
        <v>#N/A</v>
      </c>
      <c r="BC96" s="120" t="e">
        <f t="shared" si="65"/>
        <v>#N/A</v>
      </c>
      <c r="BD96" s="120">
        <f t="shared" si="76"/>
        <v>1</v>
      </c>
      <c r="BE96" s="122">
        <f t="shared" si="66"/>
      </c>
      <c r="BF96" s="123" t="e">
        <f t="shared" si="51"/>
        <v>#VALUE!</v>
      </c>
      <c r="BG96" s="122">
        <f t="shared" si="77"/>
      </c>
      <c r="BH96" s="120" t="e">
        <f t="shared" si="78"/>
        <v>#VALUE!</v>
      </c>
      <c r="BI96" s="120" t="e">
        <f t="shared" si="79"/>
        <v>#VALUE!</v>
      </c>
      <c r="BJ96" s="122" t="e">
        <f>VLOOKUP(AY96,'排出係数表'!$A$4:$D$202,4)</f>
        <v>#N/A</v>
      </c>
      <c r="BK96" s="257">
        <f t="shared" si="80"/>
      </c>
    </row>
    <row r="97" spans="1:63" s="124" customFormat="1" ht="13.5" customHeight="1">
      <c r="A97" s="120"/>
      <c r="B97" s="120"/>
      <c r="C97" s="155"/>
      <c r="D97" s="155"/>
      <c r="E97" s="155"/>
      <c r="F97" s="155"/>
      <c r="G97" s="156"/>
      <c r="H97" s="157"/>
      <c r="I97" s="155"/>
      <c r="J97" s="155"/>
      <c r="K97" s="158"/>
      <c r="L97" s="159"/>
      <c r="M97" s="244"/>
      <c r="N97" s="155"/>
      <c r="O97" s="345">
        <f t="shared" si="67"/>
      </c>
      <c r="P97" s="345">
        <f t="shared" si="52"/>
      </c>
      <c r="Q97" s="508"/>
      <c r="R97" s="346"/>
      <c r="S97" s="347"/>
      <c r="T97" s="348"/>
      <c r="U97" s="347"/>
      <c r="V97" s="348"/>
      <c r="W97" s="347"/>
      <c r="X97" s="348"/>
      <c r="Y97" s="347"/>
      <c r="Z97" s="348"/>
      <c r="AA97" s="340" t="e">
        <f t="shared" si="53"/>
        <v>#N/A</v>
      </c>
      <c r="AB97" s="339">
        <f t="shared" si="68"/>
      </c>
      <c r="AC97" s="339">
        <f t="shared" si="69"/>
      </c>
      <c r="AD97" s="255">
        <f t="shared" si="70"/>
      </c>
      <c r="AE97" s="256">
        <f t="shared" si="71"/>
      </c>
      <c r="AF97" s="256">
        <f t="shared" si="72"/>
      </c>
      <c r="AG97" s="255">
        <f t="shared" si="73"/>
      </c>
      <c r="AH97" s="255">
        <f t="shared" si="54"/>
      </c>
      <c r="AI97" s="255">
        <f t="shared" si="74"/>
      </c>
      <c r="AJ97" s="255">
        <f t="shared" si="75"/>
      </c>
      <c r="AK97" s="255">
        <f t="shared" si="55"/>
      </c>
      <c r="AL97" s="255">
        <f t="shared" si="56"/>
      </c>
      <c r="AM97" s="120">
        <f ca="1" t="shared" si="46"/>
        <v>0</v>
      </c>
      <c r="AN97" s="120" t="e">
        <f t="shared" si="57"/>
        <v>#N/A</v>
      </c>
      <c r="AO97" s="120">
        <f>ROWS($AO$4:AO97)-1</f>
        <v>93</v>
      </c>
      <c r="AP97" s="255" t="e">
        <f t="shared" si="58"/>
        <v>#N/A</v>
      </c>
      <c r="AQ97" s="120" t="e">
        <f t="shared" si="59"/>
        <v>#N/A</v>
      </c>
      <c r="AR97" s="120" t="e">
        <f t="shared" si="41"/>
        <v>#N/A</v>
      </c>
      <c r="AS97" s="121">
        <f t="shared" si="48"/>
        <v>1</v>
      </c>
      <c r="AT97" s="120" t="str">
        <f t="shared" si="49"/>
        <v> </v>
      </c>
      <c r="AU97" s="120" t="str">
        <f t="shared" si="50"/>
        <v> </v>
      </c>
      <c r="AV97" s="120" t="e">
        <f t="shared" si="60"/>
        <v>#N/A</v>
      </c>
      <c r="AW97" s="120" t="e">
        <f t="shared" si="61"/>
        <v>#N/A</v>
      </c>
      <c r="AX97" s="120">
        <f t="shared" si="62"/>
      </c>
      <c r="AY97" s="120" t="e">
        <f t="shared" si="63"/>
        <v>#N/A</v>
      </c>
      <c r="AZ97" s="120" t="e">
        <f>VLOOKUP(AY97,'排出係数表'!$A$4:$C$202,2,FALSE)</f>
        <v>#N/A</v>
      </c>
      <c r="BA97" s="120" t="e">
        <f t="shared" si="64"/>
        <v>#N/A</v>
      </c>
      <c r="BB97" s="120" t="e">
        <f>VLOOKUP(AY97,'排出係数表'!$A$4:$C$202,3,FALSE)</f>
        <v>#N/A</v>
      </c>
      <c r="BC97" s="120" t="e">
        <f t="shared" si="65"/>
        <v>#N/A</v>
      </c>
      <c r="BD97" s="120">
        <f t="shared" si="76"/>
        <v>1</v>
      </c>
      <c r="BE97" s="122">
        <f t="shared" si="66"/>
      </c>
      <c r="BF97" s="123" t="e">
        <f t="shared" si="51"/>
        <v>#VALUE!</v>
      </c>
      <c r="BG97" s="122">
        <f t="shared" si="77"/>
      </c>
      <c r="BH97" s="120" t="e">
        <f t="shared" si="78"/>
        <v>#VALUE!</v>
      </c>
      <c r="BI97" s="120" t="e">
        <f t="shared" si="79"/>
        <v>#VALUE!</v>
      </c>
      <c r="BJ97" s="122" t="e">
        <f>VLOOKUP(AY97,'排出係数表'!$A$4:$D$202,4)</f>
        <v>#N/A</v>
      </c>
      <c r="BK97" s="257">
        <f t="shared" si="80"/>
      </c>
    </row>
    <row r="98" spans="1:63" s="124" customFormat="1" ht="13.5" customHeight="1">
      <c r="A98" s="120"/>
      <c r="B98" s="120"/>
      <c r="C98" s="155"/>
      <c r="D98" s="155"/>
      <c r="E98" s="155"/>
      <c r="F98" s="155"/>
      <c r="G98" s="156"/>
      <c r="H98" s="157"/>
      <c r="I98" s="155"/>
      <c r="J98" s="155"/>
      <c r="K98" s="158"/>
      <c r="L98" s="159"/>
      <c r="M98" s="244"/>
      <c r="N98" s="155"/>
      <c r="O98" s="345">
        <f t="shared" si="67"/>
      </c>
      <c r="P98" s="345">
        <f t="shared" si="52"/>
      </c>
      <c r="Q98" s="508"/>
      <c r="R98" s="346"/>
      <c r="S98" s="347"/>
      <c r="T98" s="348"/>
      <c r="U98" s="347"/>
      <c r="V98" s="348"/>
      <c r="W98" s="347"/>
      <c r="X98" s="348"/>
      <c r="Y98" s="347"/>
      <c r="Z98" s="348"/>
      <c r="AA98" s="340" t="e">
        <f t="shared" si="53"/>
        <v>#N/A</v>
      </c>
      <c r="AB98" s="339">
        <f t="shared" si="68"/>
      </c>
      <c r="AC98" s="339">
        <f t="shared" si="69"/>
      </c>
      <c r="AD98" s="255">
        <f t="shared" si="70"/>
      </c>
      <c r="AE98" s="256">
        <f t="shared" si="71"/>
      </c>
      <c r="AF98" s="256">
        <f t="shared" si="72"/>
      </c>
      <c r="AG98" s="255">
        <f t="shared" si="73"/>
      </c>
      <c r="AH98" s="255">
        <f t="shared" si="54"/>
      </c>
      <c r="AI98" s="255">
        <f t="shared" si="74"/>
      </c>
      <c r="AJ98" s="255">
        <f t="shared" si="75"/>
      </c>
      <c r="AK98" s="255">
        <f t="shared" si="55"/>
      </c>
      <c r="AL98" s="255">
        <f t="shared" si="56"/>
      </c>
      <c r="AM98" s="120">
        <f ca="1" t="shared" si="46"/>
        <v>0</v>
      </c>
      <c r="AN98" s="120" t="e">
        <f t="shared" si="57"/>
        <v>#N/A</v>
      </c>
      <c r="AO98" s="120">
        <f>ROWS($AO$4:AO98)-1</f>
        <v>94</v>
      </c>
      <c r="AP98" s="255" t="e">
        <f t="shared" si="58"/>
        <v>#N/A</v>
      </c>
      <c r="AQ98" s="120" t="e">
        <f t="shared" si="59"/>
        <v>#N/A</v>
      </c>
      <c r="AR98" s="120" t="e">
        <f t="shared" si="41"/>
        <v>#N/A</v>
      </c>
      <c r="AS98" s="121">
        <f t="shared" si="48"/>
        <v>1</v>
      </c>
      <c r="AT98" s="120" t="str">
        <f t="shared" si="49"/>
        <v> </v>
      </c>
      <c r="AU98" s="120" t="str">
        <f t="shared" si="50"/>
        <v> </v>
      </c>
      <c r="AV98" s="120" t="e">
        <f t="shared" si="60"/>
        <v>#N/A</v>
      </c>
      <c r="AW98" s="120" t="e">
        <f t="shared" si="61"/>
        <v>#N/A</v>
      </c>
      <c r="AX98" s="120">
        <f t="shared" si="62"/>
      </c>
      <c r="AY98" s="120" t="e">
        <f t="shared" si="63"/>
        <v>#N/A</v>
      </c>
      <c r="AZ98" s="120" t="e">
        <f>VLOOKUP(AY98,'排出係数表'!$A$4:$C$202,2,FALSE)</f>
        <v>#N/A</v>
      </c>
      <c r="BA98" s="120" t="e">
        <f t="shared" si="64"/>
        <v>#N/A</v>
      </c>
      <c r="BB98" s="120" t="e">
        <f>VLOOKUP(AY98,'排出係数表'!$A$4:$C$202,3,FALSE)</f>
        <v>#N/A</v>
      </c>
      <c r="BC98" s="120" t="e">
        <f t="shared" si="65"/>
        <v>#N/A</v>
      </c>
      <c r="BD98" s="120">
        <f t="shared" si="76"/>
        <v>1</v>
      </c>
      <c r="BE98" s="122">
        <f t="shared" si="66"/>
      </c>
      <c r="BF98" s="123" t="e">
        <f t="shared" si="51"/>
        <v>#VALUE!</v>
      </c>
      <c r="BG98" s="122">
        <f t="shared" si="77"/>
      </c>
      <c r="BH98" s="120" t="e">
        <f t="shared" si="78"/>
        <v>#VALUE!</v>
      </c>
      <c r="BI98" s="120" t="e">
        <f t="shared" si="79"/>
        <v>#VALUE!</v>
      </c>
      <c r="BJ98" s="122" t="e">
        <f>VLOOKUP(AY98,'排出係数表'!$A$4:$D$202,4)</f>
        <v>#N/A</v>
      </c>
      <c r="BK98" s="257">
        <f t="shared" si="80"/>
      </c>
    </row>
    <row r="99" spans="1:63" s="124" customFormat="1" ht="13.5" customHeight="1">
      <c r="A99" s="120"/>
      <c r="B99" s="120"/>
      <c r="C99" s="155"/>
      <c r="D99" s="155"/>
      <c r="E99" s="155"/>
      <c r="F99" s="155"/>
      <c r="G99" s="156"/>
      <c r="H99" s="157"/>
      <c r="I99" s="155"/>
      <c r="J99" s="155"/>
      <c r="K99" s="158"/>
      <c r="L99" s="159"/>
      <c r="M99" s="244"/>
      <c r="N99" s="155"/>
      <c r="O99" s="345">
        <f t="shared" si="67"/>
      </c>
      <c r="P99" s="345">
        <f t="shared" si="52"/>
      </c>
      <c r="Q99" s="508"/>
      <c r="R99" s="346"/>
      <c r="S99" s="347"/>
      <c r="T99" s="348"/>
      <c r="U99" s="347"/>
      <c r="V99" s="348"/>
      <c r="W99" s="347"/>
      <c r="X99" s="348"/>
      <c r="Y99" s="347"/>
      <c r="Z99" s="348"/>
      <c r="AA99" s="340" t="e">
        <f t="shared" si="53"/>
        <v>#N/A</v>
      </c>
      <c r="AB99" s="339">
        <f t="shared" si="68"/>
      </c>
      <c r="AC99" s="339">
        <f t="shared" si="69"/>
      </c>
      <c r="AD99" s="255">
        <f t="shared" si="70"/>
      </c>
      <c r="AE99" s="256">
        <f t="shared" si="71"/>
      </c>
      <c r="AF99" s="256">
        <f t="shared" si="72"/>
      </c>
      <c r="AG99" s="255">
        <f t="shared" si="73"/>
      </c>
      <c r="AH99" s="255">
        <f t="shared" si="54"/>
      </c>
      <c r="AI99" s="255">
        <f t="shared" si="74"/>
      </c>
      <c r="AJ99" s="255">
        <f t="shared" si="75"/>
      </c>
      <c r="AK99" s="255">
        <f t="shared" si="55"/>
      </c>
      <c r="AL99" s="255">
        <f t="shared" si="56"/>
      </c>
      <c r="AM99" s="120">
        <f ca="1" t="shared" si="46"/>
        <v>0</v>
      </c>
      <c r="AN99" s="120" t="e">
        <f t="shared" si="57"/>
        <v>#N/A</v>
      </c>
      <c r="AO99" s="120">
        <f>ROWS($AO$4:AO99)-1</f>
        <v>95</v>
      </c>
      <c r="AP99" s="255" t="e">
        <f t="shared" si="58"/>
        <v>#N/A</v>
      </c>
      <c r="AQ99" s="120" t="e">
        <f t="shared" si="59"/>
        <v>#N/A</v>
      </c>
      <c r="AR99" s="120" t="e">
        <f t="shared" si="41"/>
        <v>#N/A</v>
      </c>
      <c r="AS99" s="121">
        <f t="shared" si="48"/>
        <v>1</v>
      </c>
      <c r="AT99" s="120" t="str">
        <f t="shared" si="49"/>
        <v> </v>
      </c>
      <c r="AU99" s="120" t="str">
        <f t="shared" si="50"/>
        <v> </v>
      </c>
      <c r="AV99" s="120" t="e">
        <f t="shared" si="60"/>
        <v>#N/A</v>
      </c>
      <c r="AW99" s="120" t="e">
        <f t="shared" si="61"/>
        <v>#N/A</v>
      </c>
      <c r="AX99" s="120">
        <f t="shared" si="62"/>
      </c>
      <c r="AY99" s="120" t="e">
        <f t="shared" si="63"/>
        <v>#N/A</v>
      </c>
      <c r="AZ99" s="120" t="e">
        <f>VLOOKUP(AY99,'排出係数表'!$A$4:$C$202,2,FALSE)</f>
        <v>#N/A</v>
      </c>
      <c r="BA99" s="120" t="e">
        <f t="shared" si="64"/>
        <v>#N/A</v>
      </c>
      <c r="BB99" s="120" t="e">
        <f>VLOOKUP(AY99,'排出係数表'!$A$4:$C$202,3,FALSE)</f>
        <v>#N/A</v>
      </c>
      <c r="BC99" s="120" t="e">
        <f t="shared" si="65"/>
        <v>#N/A</v>
      </c>
      <c r="BD99" s="120">
        <f t="shared" si="76"/>
        <v>1</v>
      </c>
      <c r="BE99" s="122">
        <f t="shared" si="66"/>
      </c>
      <c r="BF99" s="123" t="e">
        <f t="shared" si="51"/>
        <v>#VALUE!</v>
      </c>
      <c r="BG99" s="122">
        <f t="shared" si="77"/>
      </c>
      <c r="BH99" s="120" t="e">
        <f t="shared" si="78"/>
        <v>#VALUE!</v>
      </c>
      <c r="BI99" s="120" t="e">
        <f t="shared" si="79"/>
        <v>#VALUE!</v>
      </c>
      <c r="BJ99" s="122" t="e">
        <f>VLOOKUP(AY99,'排出係数表'!$A$4:$D$202,4)</f>
        <v>#N/A</v>
      </c>
      <c r="BK99" s="257">
        <f t="shared" si="80"/>
      </c>
    </row>
    <row r="100" spans="1:63" s="124" customFormat="1" ht="13.5" customHeight="1">
      <c r="A100" s="120"/>
      <c r="B100" s="120"/>
      <c r="C100" s="155"/>
      <c r="D100" s="155"/>
      <c r="E100" s="155"/>
      <c r="F100" s="155"/>
      <c r="G100" s="156"/>
      <c r="H100" s="157"/>
      <c r="I100" s="155"/>
      <c r="J100" s="155"/>
      <c r="K100" s="158"/>
      <c r="L100" s="159"/>
      <c r="M100" s="244"/>
      <c r="N100" s="155"/>
      <c r="O100" s="345">
        <f t="shared" si="67"/>
      </c>
      <c r="P100" s="345">
        <f t="shared" si="52"/>
      </c>
      <c r="Q100" s="508"/>
      <c r="R100" s="346"/>
      <c r="S100" s="347"/>
      <c r="T100" s="348"/>
      <c r="U100" s="347"/>
      <c r="V100" s="348"/>
      <c r="W100" s="347"/>
      <c r="X100" s="348"/>
      <c r="Y100" s="347"/>
      <c r="Z100" s="348"/>
      <c r="AA100" s="340" t="e">
        <f t="shared" si="53"/>
        <v>#N/A</v>
      </c>
      <c r="AB100" s="339">
        <f t="shared" si="68"/>
      </c>
      <c r="AC100" s="339">
        <f t="shared" si="69"/>
      </c>
      <c r="AD100" s="255">
        <f t="shared" si="70"/>
      </c>
      <c r="AE100" s="256">
        <f t="shared" si="71"/>
      </c>
      <c r="AF100" s="256">
        <f t="shared" si="72"/>
      </c>
      <c r="AG100" s="255">
        <f t="shared" si="73"/>
      </c>
      <c r="AH100" s="255">
        <f t="shared" si="54"/>
      </c>
      <c r="AI100" s="255">
        <f t="shared" si="74"/>
      </c>
      <c r="AJ100" s="255">
        <f t="shared" si="75"/>
      </c>
      <c r="AK100" s="255">
        <f t="shared" si="55"/>
      </c>
      <c r="AL100" s="255">
        <f t="shared" si="56"/>
      </c>
      <c r="AM100" s="120">
        <f ca="1" t="shared" si="46"/>
        <v>0</v>
      </c>
      <c r="AN100" s="120" t="e">
        <f t="shared" si="57"/>
        <v>#N/A</v>
      </c>
      <c r="AO100" s="120">
        <f>ROWS($AO$4:AO100)-1</f>
        <v>96</v>
      </c>
      <c r="AP100" s="255" t="e">
        <f t="shared" si="58"/>
        <v>#N/A</v>
      </c>
      <c r="AQ100" s="120" t="e">
        <f t="shared" si="59"/>
        <v>#N/A</v>
      </c>
      <c r="AR100" s="120" t="e">
        <f t="shared" si="41"/>
        <v>#N/A</v>
      </c>
      <c r="AS100" s="121">
        <f t="shared" si="48"/>
        <v>1</v>
      </c>
      <c r="AT100" s="120" t="str">
        <f t="shared" si="49"/>
        <v> </v>
      </c>
      <c r="AU100" s="120" t="str">
        <f t="shared" si="50"/>
        <v> </v>
      </c>
      <c r="AV100" s="120" t="e">
        <f t="shared" si="60"/>
        <v>#N/A</v>
      </c>
      <c r="AW100" s="120" t="e">
        <f t="shared" si="61"/>
        <v>#N/A</v>
      </c>
      <c r="AX100" s="120">
        <f t="shared" si="62"/>
      </c>
      <c r="AY100" s="120" t="e">
        <f t="shared" si="63"/>
        <v>#N/A</v>
      </c>
      <c r="AZ100" s="120" t="e">
        <f>VLOOKUP(AY100,'排出係数表'!$A$4:$C$202,2,FALSE)</f>
        <v>#N/A</v>
      </c>
      <c r="BA100" s="120" t="e">
        <f t="shared" si="64"/>
        <v>#N/A</v>
      </c>
      <c r="BB100" s="120" t="e">
        <f>VLOOKUP(AY100,'排出係数表'!$A$4:$C$202,3,FALSE)</f>
        <v>#N/A</v>
      </c>
      <c r="BC100" s="120" t="e">
        <f t="shared" si="65"/>
        <v>#N/A</v>
      </c>
      <c r="BD100" s="120">
        <f t="shared" si="76"/>
        <v>1</v>
      </c>
      <c r="BE100" s="122">
        <f t="shared" si="66"/>
      </c>
      <c r="BF100" s="123" t="e">
        <f t="shared" si="51"/>
        <v>#VALUE!</v>
      </c>
      <c r="BG100" s="122">
        <f t="shared" si="77"/>
      </c>
      <c r="BH100" s="120" t="e">
        <f t="shared" si="78"/>
        <v>#VALUE!</v>
      </c>
      <c r="BI100" s="120" t="e">
        <f t="shared" si="79"/>
        <v>#VALUE!</v>
      </c>
      <c r="BJ100" s="122" t="e">
        <f>VLOOKUP(AY100,'排出係数表'!$A$4:$D$202,4)</f>
        <v>#N/A</v>
      </c>
      <c r="BK100" s="257">
        <f t="shared" si="80"/>
      </c>
    </row>
    <row r="101" spans="1:63" s="124" customFormat="1" ht="13.5" customHeight="1">
      <c r="A101" s="120"/>
      <c r="B101" s="120"/>
      <c r="C101" s="155"/>
      <c r="D101" s="155"/>
      <c r="E101" s="155"/>
      <c r="F101" s="155"/>
      <c r="G101" s="156"/>
      <c r="H101" s="157"/>
      <c r="I101" s="155"/>
      <c r="J101" s="155"/>
      <c r="K101" s="158"/>
      <c r="L101" s="159"/>
      <c r="M101" s="244"/>
      <c r="N101" s="155"/>
      <c r="O101" s="345">
        <f t="shared" si="67"/>
      </c>
      <c r="P101" s="345">
        <f t="shared" si="52"/>
      </c>
      <c r="Q101" s="508"/>
      <c r="R101" s="346"/>
      <c r="S101" s="347"/>
      <c r="T101" s="348"/>
      <c r="U101" s="347"/>
      <c r="V101" s="348"/>
      <c r="W101" s="347"/>
      <c r="X101" s="348"/>
      <c r="Y101" s="347"/>
      <c r="Z101" s="348"/>
      <c r="AA101" s="340" t="e">
        <f t="shared" si="53"/>
        <v>#N/A</v>
      </c>
      <c r="AB101" s="339">
        <f t="shared" si="68"/>
      </c>
      <c r="AC101" s="339">
        <f t="shared" si="69"/>
      </c>
      <c r="AD101" s="255">
        <f t="shared" si="70"/>
      </c>
      <c r="AE101" s="256">
        <f t="shared" si="71"/>
      </c>
      <c r="AF101" s="256">
        <f t="shared" si="72"/>
      </c>
      <c r="AG101" s="255">
        <f t="shared" si="73"/>
      </c>
      <c r="AH101" s="255">
        <f t="shared" si="54"/>
      </c>
      <c r="AI101" s="255">
        <f t="shared" si="74"/>
      </c>
      <c r="AJ101" s="255">
        <f t="shared" si="75"/>
      </c>
      <c r="AK101" s="255">
        <f t="shared" si="55"/>
      </c>
      <c r="AL101" s="255">
        <f t="shared" si="56"/>
      </c>
      <c r="AM101" s="120">
        <f ca="1" t="shared" si="46"/>
        <v>0</v>
      </c>
      <c r="AN101" s="120" t="e">
        <f t="shared" si="57"/>
        <v>#N/A</v>
      </c>
      <c r="AO101" s="120">
        <f>ROWS($AO$4:AO101)-1</f>
        <v>97</v>
      </c>
      <c r="AP101" s="255" t="e">
        <f t="shared" si="58"/>
        <v>#N/A</v>
      </c>
      <c r="AQ101" s="120" t="e">
        <f t="shared" si="59"/>
        <v>#N/A</v>
      </c>
      <c r="AR101" s="120" t="e">
        <f aca="true" t="shared" si="81" ref="AR101:AR164">LOOKUP(F101,種類,$M$307:$M$314)</f>
        <v>#N/A</v>
      </c>
      <c r="AS101" s="121">
        <f t="shared" si="48"/>
        <v>1</v>
      </c>
      <c r="AT101" s="120" t="str">
        <f t="shared" si="49"/>
        <v> </v>
      </c>
      <c r="AU101" s="120" t="str">
        <f t="shared" si="50"/>
        <v> </v>
      </c>
      <c r="AV101" s="120" t="e">
        <f t="shared" si="60"/>
        <v>#N/A</v>
      </c>
      <c r="AW101" s="120" t="e">
        <f t="shared" si="61"/>
        <v>#N/A</v>
      </c>
      <c r="AX101" s="120">
        <f t="shared" si="62"/>
      </c>
      <c r="AY101" s="120" t="e">
        <f t="shared" si="63"/>
        <v>#N/A</v>
      </c>
      <c r="AZ101" s="120" t="e">
        <f>VLOOKUP(AY101,'排出係数表'!$A$4:$C$202,2,FALSE)</f>
        <v>#N/A</v>
      </c>
      <c r="BA101" s="120" t="e">
        <f t="shared" si="64"/>
        <v>#N/A</v>
      </c>
      <c r="BB101" s="120" t="e">
        <f>VLOOKUP(AY101,'排出係数表'!$A$4:$C$202,3,FALSE)</f>
        <v>#N/A</v>
      </c>
      <c r="BC101" s="120" t="e">
        <f t="shared" si="65"/>
        <v>#N/A</v>
      </c>
      <c r="BD101" s="120">
        <f t="shared" si="76"/>
        <v>1</v>
      </c>
      <c r="BE101" s="122">
        <f t="shared" si="66"/>
      </c>
      <c r="BF101" s="123" t="e">
        <f t="shared" si="51"/>
        <v>#VALUE!</v>
      </c>
      <c r="BG101" s="122">
        <f t="shared" si="77"/>
      </c>
      <c r="BH101" s="120" t="e">
        <f t="shared" si="78"/>
        <v>#VALUE!</v>
      </c>
      <c r="BI101" s="120" t="e">
        <f t="shared" si="79"/>
        <v>#VALUE!</v>
      </c>
      <c r="BJ101" s="122" t="e">
        <f>VLOOKUP(AY101,'排出係数表'!$A$4:$D$202,4)</f>
        <v>#N/A</v>
      </c>
      <c r="BK101" s="257">
        <f t="shared" si="80"/>
      </c>
    </row>
    <row r="102" spans="1:63" s="124" customFormat="1" ht="13.5" customHeight="1">
      <c r="A102" s="120"/>
      <c r="B102" s="120"/>
      <c r="C102" s="155"/>
      <c r="D102" s="155"/>
      <c r="E102" s="155"/>
      <c r="F102" s="155"/>
      <c r="G102" s="156"/>
      <c r="H102" s="157"/>
      <c r="I102" s="155"/>
      <c r="J102" s="155"/>
      <c r="K102" s="158"/>
      <c r="L102" s="159"/>
      <c r="M102" s="244"/>
      <c r="N102" s="155"/>
      <c r="O102" s="345">
        <f t="shared" si="67"/>
      </c>
      <c r="P102" s="345">
        <f t="shared" si="52"/>
      </c>
      <c r="Q102" s="508"/>
      <c r="R102" s="346"/>
      <c r="S102" s="347"/>
      <c r="T102" s="348"/>
      <c r="U102" s="347"/>
      <c r="V102" s="348"/>
      <c r="W102" s="347"/>
      <c r="X102" s="348"/>
      <c r="Y102" s="347"/>
      <c r="Z102" s="348"/>
      <c r="AA102" s="340" t="e">
        <f t="shared" si="53"/>
        <v>#N/A</v>
      </c>
      <c r="AB102" s="339">
        <f t="shared" si="68"/>
      </c>
      <c r="AC102" s="339">
        <f t="shared" si="69"/>
      </c>
      <c r="AD102" s="255">
        <f t="shared" si="70"/>
      </c>
      <c r="AE102" s="256">
        <f t="shared" si="71"/>
      </c>
      <c r="AF102" s="256">
        <f t="shared" si="72"/>
      </c>
      <c r="AG102" s="255">
        <f t="shared" si="73"/>
      </c>
      <c r="AH102" s="255">
        <f t="shared" si="54"/>
      </c>
      <c r="AI102" s="255">
        <f t="shared" si="74"/>
      </c>
      <c r="AJ102" s="255">
        <f t="shared" si="75"/>
      </c>
      <c r="AK102" s="255">
        <f t="shared" si="55"/>
      </c>
      <c r="AL102" s="255">
        <f t="shared" si="56"/>
      </c>
      <c r="AM102" s="120">
        <f ca="1" t="shared" si="46"/>
        <v>0</v>
      </c>
      <c r="AN102" s="120" t="e">
        <f t="shared" si="57"/>
        <v>#N/A</v>
      </c>
      <c r="AO102" s="120">
        <f>ROWS($AO$4:AO102)-1</f>
        <v>98</v>
      </c>
      <c r="AP102" s="255" t="e">
        <f t="shared" si="58"/>
        <v>#N/A</v>
      </c>
      <c r="AQ102" s="120" t="e">
        <f t="shared" si="59"/>
        <v>#N/A</v>
      </c>
      <c r="AR102" s="120" t="e">
        <f t="shared" si="81"/>
        <v>#N/A</v>
      </c>
      <c r="AS102" s="121">
        <f t="shared" si="48"/>
        <v>1</v>
      </c>
      <c r="AT102" s="120" t="str">
        <f t="shared" si="49"/>
        <v> </v>
      </c>
      <c r="AU102" s="120" t="str">
        <f t="shared" si="50"/>
        <v> </v>
      </c>
      <c r="AV102" s="120" t="e">
        <f t="shared" si="60"/>
        <v>#N/A</v>
      </c>
      <c r="AW102" s="120" t="e">
        <f t="shared" si="61"/>
        <v>#N/A</v>
      </c>
      <c r="AX102" s="120">
        <f t="shared" si="62"/>
      </c>
      <c r="AY102" s="120" t="e">
        <f t="shared" si="63"/>
        <v>#N/A</v>
      </c>
      <c r="AZ102" s="120" t="e">
        <f>VLOOKUP(AY102,'排出係数表'!$A$4:$C$202,2,FALSE)</f>
        <v>#N/A</v>
      </c>
      <c r="BA102" s="120" t="e">
        <f t="shared" si="64"/>
        <v>#N/A</v>
      </c>
      <c r="BB102" s="120" t="e">
        <f>VLOOKUP(AY102,'排出係数表'!$A$4:$C$202,3,FALSE)</f>
        <v>#N/A</v>
      </c>
      <c r="BC102" s="120" t="e">
        <f t="shared" si="65"/>
        <v>#N/A</v>
      </c>
      <c r="BD102" s="120">
        <f t="shared" si="76"/>
        <v>1</v>
      </c>
      <c r="BE102" s="122">
        <f t="shared" si="66"/>
      </c>
      <c r="BF102" s="123" t="e">
        <f t="shared" si="51"/>
        <v>#VALUE!</v>
      </c>
      <c r="BG102" s="122">
        <f t="shared" si="77"/>
      </c>
      <c r="BH102" s="120" t="e">
        <f t="shared" si="78"/>
        <v>#VALUE!</v>
      </c>
      <c r="BI102" s="120" t="e">
        <f t="shared" si="79"/>
        <v>#VALUE!</v>
      </c>
      <c r="BJ102" s="122" t="e">
        <f>VLOOKUP(AY102,'排出係数表'!$A$4:$D$202,4)</f>
        <v>#N/A</v>
      </c>
      <c r="BK102" s="257">
        <f t="shared" si="80"/>
      </c>
    </row>
    <row r="103" spans="1:63" s="124" customFormat="1" ht="13.5" customHeight="1">
      <c r="A103" s="120"/>
      <c r="B103" s="120"/>
      <c r="C103" s="155"/>
      <c r="D103" s="155"/>
      <c r="E103" s="155"/>
      <c r="F103" s="155"/>
      <c r="G103" s="156"/>
      <c r="H103" s="157"/>
      <c r="I103" s="155"/>
      <c r="J103" s="155"/>
      <c r="K103" s="158"/>
      <c r="L103" s="159"/>
      <c r="M103" s="244"/>
      <c r="N103" s="155"/>
      <c r="O103" s="345">
        <f t="shared" si="67"/>
      </c>
      <c r="P103" s="345">
        <f t="shared" si="52"/>
      </c>
      <c r="Q103" s="508"/>
      <c r="R103" s="346"/>
      <c r="S103" s="347"/>
      <c r="T103" s="348"/>
      <c r="U103" s="347"/>
      <c r="V103" s="348"/>
      <c r="W103" s="347"/>
      <c r="X103" s="348"/>
      <c r="Y103" s="347"/>
      <c r="Z103" s="348"/>
      <c r="AA103" s="340" t="e">
        <f t="shared" si="53"/>
        <v>#N/A</v>
      </c>
      <c r="AB103" s="339">
        <f t="shared" si="68"/>
      </c>
      <c r="AC103" s="339">
        <f t="shared" si="69"/>
      </c>
      <c r="AD103" s="255">
        <f t="shared" si="70"/>
      </c>
      <c r="AE103" s="256">
        <f t="shared" si="71"/>
      </c>
      <c r="AF103" s="256">
        <f t="shared" si="72"/>
      </c>
      <c r="AG103" s="255">
        <f t="shared" si="73"/>
      </c>
      <c r="AH103" s="255">
        <f t="shared" si="54"/>
      </c>
      <c r="AI103" s="255">
        <f t="shared" si="74"/>
      </c>
      <c r="AJ103" s="255">
        <f t="shared" si="75"/>
      </c>
      <c r="AK103" s="255">
        <f t="shared" si="55"/>
      </c>
      <c r="AL103" s="255">
        <f t="shared" si="56"/>
      </c>
      <c r="AM103" s="120">
        <f ca="1" t="shared" si="46"/>
        <v>0</v>
      </c>
      <c r="AN103" s="120" t="e">
        <f t="shared" si="57"/>
        <v>#N/A</v>
      </c>
      <c r="AO103" s="120">
        <f>ROWS($AO$4:AO103)-1</f>
        <v>99</v>
      </c>
      <c r="AP103" s="255" t="e">
        <f t="shared" si="58"/>
        <v>#N/A</v>
      </c>
      <c r="AQ103" s="120" t="e">
        <f t="shared" si="59"/>
        <v>#N/A</v>
      </c>
      <c r="AR103" s="120" t="e">
        <f t="shared" si="81"/>
        <v>#N/A</v>
      </c>
      <c r="AS103" s="121">
        <f t="shared" si="48"/>
        <v>1</v>
      </c>
      <c r="AT103" s="120" t="str">
        <f t="shared" si="49"/>
        <v> </v>
      </c>
      <c r="AU103" s="120" t="str">
        <f t="shared" si="50"/>
        <v> </v>
      </c>
      <c r="AV103" s="120" t="e">
        <f t="shared" si="60"/>
        <v>#N/A</v>
      </c>
      <c r="AW103" s="120" t="e">
        <f t="shared" si="61"/>
        <v>#N/A</v>
      </c>
      <c r="AX103" s="120">
        <f t="shared" si="62"/>
      </c>
      <c r="AY103" s="120" t="e">
        <f t="shared" si="63"/>
        <v>#N/A</v>
      </c>
      <c r="AZ103" s="120" t="e">
        <f>VLOOKUP(AY103,'排出係数表'!$A$4:$C$202,2,FALSE)</f>
        <v>#N/A</v>
      </c>
      <c r="BA103" s="120" t="e">
        <f t="shared" si="64"/>
        <v>#N/A</v>
      </c>
      <c r="BB103" s="120" t="e">
        <f>VLOOKUP(AY103,'排出係数表'!$A$4:$C$202,3,FALSE)</f>
        <v>#N/A</v>
      </c>
      <c r="BC103" s="120" t="e">
        <f t="shared" si="65"/>
        <v>#N/A</v>
      </c>
      <c r="BD103" s="120">
        <f t="shared" si="76"/>
        <v>1</v>
      </c>
      <c r="BE103" s="122">
        <f t="shared" si="66"/>
      </c>
      <c r="BF103" s="123" t="e">
        <f t="shared" si="51"/>
        <v>#VALUE!</v>
      </c>
      <c r="BG103" s="122">
        <f t="shared" si="77"/>
      </c>
      <c r="BH103" s="120" t="e">
        <f t="shared" si="78"/>
        <v>#VALUE!</v>
      </c>
      <c r="BI103" s="120" t="e">
        <f t="shared" si="79"/>
        <v>#VALUE!</v>
      </c>
      <c r="BJ103" s="122" t="e">
        <f>VLOOKUP(AY103,'排出係数表'!$A$4:$D$202,4)</f>
        <v>#N/A</v>
      </c>
      <c r="BK103" s="257">
        <f t="shared" si="80"/>
      </c>
    </row>
    <row r="104" spans="1:63" s="124" customFormat="1" ht="13.5" customHeight="1">
      <c r="A104" s="120"/>
      <c r="B104" s="120"/>
      <c r="C104" s="155"/>
      <c r="D104" s="155"/>
      <c r="E104" s="155"/>
      <c r="F104" s="155"/>
      <c r="G104" s="156"/>
      <c r="H104" s="157"/>
      <c r="I104" s="155"/>
      <c r="J104" s="155"/>
      <c r="K104" s="158"/>
      <c r="L104" s="159"/>
      <c r="M104" s="244"/>
      <c r="N104" s="155"/>
      <c r="O104" s="345">
        <f t="shared" si="67"/>
      </c>
      <c r="P104" s="345">
        <f t="shared" si="52"/>
      </c>
      <c r="Q104" s="508"/>
      <c r="R104" s="346"/>
      <c r="S104" s="347"/>
      <c r="T104" s="348"/>
      <c r="U104" s="347"/>
      <c r="V104" s="348"/>
      <c r="W104" s="347"/>
      <c r="X104" s="348"/>
      <c r="Y104" s="347"/>
      <c r="Z104" s="348"/>
      <c r="AA104" s="340" t="e">
        <f t="shared" si="53"/>
        <v>#N/A</v>
      </c>
      <c r="AB104" s="339">
        <f t="shared" si="68"/>
      </c>
      <c r="AC104" s="339">
        <f t="shared" si="69"/>
      </c>
      <c r="AD104" s="255">
        <f t="shared" si="70"/>
      </c>
      <c r="AE104" s="256">
        <f t="shared" si="71"/>
      </c>
      <c r="AF104" s="256">
        <f t="shared" si="72"/>
      </c>
      <c r="AG104" s="255">
        <f t="shared" si="73"/>
      </c>
      <c r="AH104" s="255">
        <f t="shared" si="54"/>
      </c>
      <c r="AI104" s="255">
        <f t="shared" si="74"/>
      </c>
      <c r="AJ104" s="255">
        <f t="shared" si="75"/>
      </c>
      <c r="AK104" s="255">
        <f t="shared" si="55"/>
      </c>
      <c r="AL104" s="255">
        <f t="shared" si="56"/>
      </c>
      <c r="AM104" s="120">
        <f ca="1" t="shared" si="46"/>
        <v>0</v>
      </c>
      <c r="AN104" s="120" t="e">
        <f t="shared" si="57"/>
        <v>#N/A</v>
      </c>
      <c r="AO104" s="120">
        <f>ROWS($AO$4:AO104)-1</f>
        <v>100</v>
      </c>
      <c r="AP104" s="255" t="e">
        <f t="shared" si="58"/>
        <v>#N/A</v>
      </c>
      <c r="AQ104" s="120" t="e">
        <f t="shared" si="59"/>
        <v>#N/A</v>
      </c>
      <c r="AR104" s="120" t="e">
        <f t="shared" si="81"/>
        <v>#N/A</v>
      </c>
      <c r="AS104" s="121">
        <f t="shared" si="48"/>
        <v>1</v>
      </c>
      <c r="AT104" s="120" t="str">
        <f t="shared" si="49"/>
        <v> </v>
      </c>
      <c r="AU104" s="120" t="str">
        <f t="shared" si="50"/>
        <v> </v>
      </c>
      <c r="AV104" s="120" t="e">
        <f t="shared" si="60"/>
        <v>#N/A</v>
      </c>
      <c r="AW104" s="120" t="e">
        <f t="shared" si="61"/>
        <v>#N/A</v>
      </c>
      <c r="AX104" s="120">
        <f t="shared" si="62"/>
      </c>
      <c r="AY104" s="120" t="e">
        <f t="shared" si="63"/>
        <v>#N/A</v>
      </c>
      <c r="AZ104" s="120" t="e">
        <f>VLOOKUP(AY104,'排出係数表'!$A$4:$C$202,2,FALSE)</f>
        <v>#N/A</v>
      </c>
      <c r="BA104" s="120" t="e">
        <f t="shared" si="64"/>
        <v>#N/A</v>
      </c>
      <c r="BB104" s="120" t="e">
        <f>VLOOKUP(AY104,'排出係数表'!$A$4:$C$202,3,FALSE)</f>
        <v>#N/A</v>
      </c>
      <c r="BC104" s="120" t="e">
        <f t="shared" si="65"/>
        <v>#N/A</v>
      </c>
      <c r="BD104" s="120">
        <f t="shared" si="76"/>
        <v>1</v>
      </c>
      <c r="BE104" s="122">
        <f t="shared" si="66"/>
      </c>
      <c r="BF104" s="123" t="e">
        <f t="shared" si="51"/>
        <v>#VALUE!</v>
      </c>
      <c r="BG104" s="122">
        <f t="shared" si="77"/>
      </c>
      <c r="BH104" s="120" t="e">
        <f t="shared" si="78"/>
        <v>#VALUE!</v>
      </c>
      <c r="BI104" s="120" t="e">
        <f t="shared" si="79"/>
        <v>#VALUE!</v>
      </c>
      <c r="BJ104" s="122" t="e">
        <f>VLOOKUP(AY104,'排出係数表'!$A$4:$D$202,4)</f>
        <v>#N/A</v>
      </c>
      <c r="BK104" s="257">
        <f t="shared" si="80"/>
      </c>
    </row>
    <row r="105" spans="1:63" s="124" customFormat="1" ht="13.5" customHeight="1">
      <c r="A105" s="120"/>
      <c r="B105" s="120"/>
      <c r="C105" s="155"/>
      <c r="D105" s="155"/>
      <c r="E105" s="155"/>
      <c r="F105" s="155"/>
      <c r="G105" s="156"/>
      <c r="H105" s="157"/>
      <c r="I105" s="155"/>
      <c r="J105" s="155"/>
      <c r="K105" s="158"/>
      <c r="L105" s="159"/>
      <c r="M105" s="244"/>
      <c r="N105" s="155"/>
      <c r="O105" s="345">
        <f t="shared" si="67"/>
      </c>
      <c r="P105" s="345">
        <f t="shared" si="52"/>
      </c>
      <c r="Q105" s="508"/>
      <c r="R105" s="346"/>
      <c r="S105" s="347"/>
      <c r="T105" s="348"/>
      <c r="U105" s="347"/>
      <c r="V105" s="348"/>
      <c r="W105" s="347"/>
      <c r="X105" s="348"/>
      <c r="Y105" s="347"/>
      <c r="Z105" s="348"/>
      <c r="AA105" s="340" t="e">
        <f t="shared" si="53"/>
        <v>#N/A</v>
      </c>
      <c r="AB105" s="339">
        <f t="shared" si="68"/>
      </c>
      <c r="AC105" s="339">
        <f t="shared" si="69"/>
      </c>
      <c r="AD105" s="255">
        <f t="shared" si="70"/>
      </c>
      <c r="AE105" s="256">
        <f t="shared" si="71"/>
      </c>
      <c r="AF105" s="256">
        <f t="shared" si="72"/>
      </c>
      <c r="AG105" s="255">
        <f t="shared" si="73"/>
      </c>
      <c r="AH105" s="255">
        <f t="shared" si="54"/>
      </c>
      <c r="AI105" s="255">
        <f t="shared" si="74"/>
      </c>
      <c r="AJ105" s="255">
        <f t="shared" si="75"/>
      </c>
      <c r="AK105" s="255">
        <f t="shared" si="55"/>
      </c>
      <c r="AL105" s="255">
        <f t="shared" si="56"/>
      </c>
      <c r="AM105" s="120">
        <f ca="1" t="shared" si="46"/>
        <v>0</v>
      </c>
      <c r="AN105" s="120" t="e">
        <f t="shared" si="57"/>
        <v>#N/A</v>
      </c>
      <c r="AO105" s="120">
        <f>ROWS($AO$4:AO105)-1</f>
        <v>101</v>
      </c>
      <c r="AP105" s="255" t="e">
        <f t="shared" si="58"/>
        <v>#N/A</v>
      </c>
      <c r="AQ105" s="120" t="e">
        <f t="shared" si="59"/>
        <v>#N/A</v>
      </c>
      <c r="AR105" s="120" t="e">
        <f t="shared" si="81"/>
        <v>#N/A</v>
      </c>
      <c r="AS105" s="121">
        <f t="shared" si="48"/>
        <v>1</v>
      </c>
      <c r="AT105" s="120" t="str">
        <f t="shared" si="49"/>
        <v> </v>
      </c>
      <c r="AU105" s="120" t="str">
        <f t="shared" si="50"/>
        <v> </v>
      </c>
      <c r="AV105" s="120" t="e">
        <f t="shared" si="60"/>
        <v>#N/A</v>
      </c>
      <c r="AW105" s="120" t="e">
        <f t="shared" si="61"/>
        <v>#N/A</v>
      </c>
      <c r="AX105" s="120">
        <f t="shared" si="62"/>
      </c>
      <c r="AY105" s="120" t="e">
        <f t="shared" si="63"/>
        <v>#N/A</v>
      </c>
      <c r="AZ105" s="120" t="e">
        <f>VLOOKUP(AY105,'排出係数表'!$A$4:$C$202,2,FALSE)</f>
        <v>#N/A</v>
      </c>
      <c r="BA105" s="120" t="e">
        <f t="shared" si="64"/>
        <v>#N/A</v>
      </c>
      <c r="BB105" s="120" t="e">
        <f>VLOOKUP(AY105,'排出係数表'!$A$4:$C$202,3,FALSE)</f>
        <v>#N/A</v>
      </c>
      <c r="BC105" s="120" t="e">
        <f t="shared" si="65"/>
        <v>#N/A</v>
      </c>
      <c r="BD105" s="120">
        <f t="shared" si="76"/>
        <v>1</v>
      </c>
      <c r="BE105" s="122">
        <f t="shared" si="66"/>
      </c>
      <c r="BF105" s="123" t="e">
        <f t="shared" si="51"/>
        <v>#VALUE!</v>
      </c>
      <c r="BG105" s="122">
        <f t="shared" si="77"/>
      </c>
      <c r="BH105" s="120" t="e">
        <f t="shared" si="78"/>
        <v>#VALUE!</v>
      </c>
      <c r="BI105" s="120" t="e">
        <f t="shared" si="79"/>
        <v>#VALUE!</v>
      </c>
      <c r="BJ105" s="122" t="e">
        <f>VLOOKUP(AY105,'排出係数表'!$A$4:$D$202,4)</f>
        <v>#N/A</v>
      </c>
      <c r="BK105" s="257">
        <f t="shared" si="80"/>
      </c>
    </row>
    <row r="106" spans="1:63" s="124" customFormat="1" ht="13.5" customHeight="1">
      <c r="A106" s="120"/>
      <c r="B106" s="120"/>
      <c r="C106" s="155"/>
      <c r="D106" s="155"/>
      <c r="E106" s="155"/>
      <c r="F106" s="155"/>
      <c r="G106" s="156"/>
      <c r="H106" s="157"/>
      <c r="I106" s="155"/>
      <c r="J106" s="155"/>
      <c r="K106" s="158"/>
      <c r="L106" s="159"/>
      <c r="M106" s="244"/>
      <c r="N106" s="155"/>
      <c r="O106" s="345">
        <f t="shared" si="67"/>
      </c>
      <c r="P106" s="345">
        <f t="shared" si="52"/>
      </c>
      <c r="Q106" s="508"/>
      <c r="R106" s="346"/>
      <c r="S106" s="347"/>
      <c r="T106" s="348"/>
      <c r="U106" s="347"/>
      <c r="V106" s="348"/>
      <c r="W106" s="347"/>
      <c r="X106" s="348"/>
      <c r="Y106" s="347"/>
      <c r="Z106" s="348"/>
      <c r="AA106" s="340" t="e">
        <f t="shared" si="53"/>
        <v>#N/A</v>
      </c>
      <c r="AB106" s="339">
        <f t="shared" si="68"/>
      </c>
      <c r="AC106" s="339">
        <f t="shared" si="69"/>
      </c>
      <c r="AD106" s="255">
        <f t="shared" si="70"/>
      </c>
      <c r="AE106" s="256">
        <f t="shared" si="71"/>
      </c>
      <c r="AF106" s="256">
        <f t="shared" si="72"/>
      </c>
      <c r="AG106" s="255">
        <f t="shared" si="73"/>
      </c>
      <c r="AH106" s="255">
        <f t="shared" si="54"/>
      </c>
      <c r="AI106" s="255">
        <f t="shared" si="74"/>
      </c>
      <c r="AJ106" s="255">
        <f t="shared" si="75"/>
      </c>
      <c r="AK106" s="255">
        <f t="shared" si="55"/>
      </c>
      <c r="AL106" s="255">
        <f t="shared" si="56"/>
      </c>
      <c r="AM106" s="120">
        <f ca="1" t="shared" si="46"/>
        <v>0</v>
      </c>
      <c r="AN106" s="120" t="e">
        <f t="shared" si="57"/>
        <v>#N/A</v>
      </c>
      <c r="AO106" s="120">
        <f>ROWS($AO$4:AO106)-1</f>
        <v>102</v>
      </c>
      <c r="AP106" s="255" t="e">
        <f t="shared" si="58"/>
        <v>#N/A</v>
      </c>
      <c r="AQ106" s="120" t="e">
        <f t="shared" si="59"/>
        <v>#N/A</v>
      </c>
      <c r="AR106" s="120" t="e">
        <f t="shared" si="81"/>
        <v>#N/A</v>
      </c>
      <c r="AS106" s="121">
        <f t="shared" si="48"/>
        <v>1</v>
      </c>
      <c r="AT106" s="120" t="str">
        <f t="shared" si="49"/>
        <v> </v>
      </c>
      <c r="AU106" s="120" t="str">
        <f t="shared" si="50"/>
        <v> </v>
      </c>
      <c r="AV106" s="120" t="e">
        <f t="shared" si="60"/>
        <v>#N/A</v>
      </c>
      <c r="AW106" s="120" t="e">
        <f t="shared" si="61"/>
        <v>#N/A</v>
      </c>
      <c r="AX106" s="120">
        <f t="shared" si="62"/>
      </c>
      <c r="AY106" s="120" t="e">
        <f t="shared" si="63"/>
        <v>#N/A</v>
      </c>
      <c r="AZ106" s="120" t="e">
        <f>VLOOKUP(AY106,'排出係数表'!$A$4:$C$202,2,FALSE)</f>
        <v>#N/A</v>
      </c>
      <c r="BA106" s="120" t="e">
        <f t="shared" si="64"/>
        <v>#N/A</v>
      </c>
      <c r="BB106" s="120" t="e">
        <f>VLOOKUP(AY106,'排出係数表'!$A$4:$C$202,3,FALSE)</f>
        <v>#N/A</v>
      </c>
      <c r="BC106" s="120" t="e">
        <f t="shared" si="65"/>
        <v>#N/A</v>
      </c>
      <c r="BD106" s="120">
        <f t="shared" si="76"/>
        <v>1</v>
      </c>
      <c r="BE106" s="122">
        <f t="shared" si="66"/>
      </c>
      <c r="BF106" s="123" t="e">
        <f t="shared" si="51"/>
        <v>#VALUE!</v>
      </c>
      <c r="BG106" s="122">
        <f t="shared" si="77"/>
      </c>
      <c r="BH106" s="120" t="e">
        <f t="shared" si="78"/>
        <v>#VALUE!</v>
      </c>
      <c r="BI106" s="120" t="e">
        <f t="shared" si="79"/>
        <v>#VALUE!</v>
      </c>
      <c r="BJ106" s="122" t="e">
        <f>VLOOKUP(AY106,'排出係数表'!$A$4:$D$202,4)</f>
        <v>#N/A</v>
      </c>
      <c r="BK106" s="257">
        <f t="shared" si="80"/>
      </c>
    </row>
    <row r="107" spans="1:63" s="124" customFormat="1" ht="13.5" customHeight="1">
      <c r="A107" s="120"/>
      <c r="B107" s="120"/>
      <c r="C107" s="155"/>
      <c r="D107" s="155"/>
      <c r="E107" s="155"/>
      <c r="F107" s="155"/>
      <c r="G107" s="156"/>
      <c r="H107" s="157"/>
      <c r="I107" s="155"/>
      <c r="J107" s="155"/>
      <c r="K107" s="158"/>
      <c r="L107" s="159"/>
      <c r="M107" s="244"/>
      <c r="N107" s="155"/>
      <c r="O107" s="345">
        <f t="shared" si="67"/>
      </c>
      <c r="P107" s="345">
        <f t="shared" si="52"/>
      </c>
      <c r="Q107" s="508"/>
      <c r="R107" s="346"/>
      <c r="S107" s="347"/>
      <c r="T107" s="348"/>
      <c r="U107" s="347"/>
      <c r="V107" s="348"/>
      <c r="W107" s="347"/>
      <c r="X107" s="348"/>
      <c r="Y107" s="347"/>
      <c r="Z107" s="348"/>
      <c r="AA107" s="340" t="e">
        <f t="shared" si="53"/>
        <v>#N/A</v>
      </c>
      <c r="AB107" s="339">
        <f t="shared" si="68"/>
      </c>
      <c r="AC107" s="339">
        <f t="shared" si="69"/>
      </c>
      <c r="AD107" s="255">
        <f t="shared" si="70"/>
      </c>
      <c r="AE107" s="256">
        <f t="shared" si="71"/>
      </c>
      <c r="AF107" s="256">
        <f t="shared" si="72"/>
      </c>
      <c r="AG107" s="255">
        <f t="shared" si="73"/>
      </c>
      <c r="AH107" s="255">
        <f t="shared" si="54"/>
      </c>
      <c r="AI107" s="255">
        <f t="shared" si="74"/>
      </c>
      <c r="AJ107" s="255">
        <f t="shared" si="75"/>
      </c>
      <c r="AK107" s="255">
        <f t="shared" si="55"/>
      </c>
      <c r="AL107" s="255">
        <f t="shared" si="56"/>
      </c>
      <c r="AM107" s="120">
        <f ca="1" t="shared" si="46"/>
        <v>0</v>
      </c>
      <c r="AN107" s="120" t="e">
        <f t="shared" si="57"/>
        <v>#N/A</v>
      </c>
      <c r="AO107" s="120">
        <f>ROWS($AO$4:AO107)-1</f>
        <v>103</v>
      </c>
      <c r="AP107" s="255" t="e">
        <f t="shared" si="58"/>
        <v>#N/A</v>
      </c>
      <c r="AQ107" s="120" t="e">
        <f t="shared" si="59"/>
        <v>#N/A</v>
      </c>
      <c r="AR107" s="120" t="e">
        <f t="shared" si="81"/>
        <v>#N/A</v>
      </c>
      <c r="AS107" s="121">
        <f t="shared" si="48"/>
        <v>1</v>
      </c>
      <c r="AT107" s="120" t="str">
        <f t="shared" si="49"/>
        <v> </v>
      </c>
      <c r="AU107" s="120" t="str">
        <f t="shared" si="50"/>
        <v> </v>
      </c>
      <c r="AV107" s="120" t="e">
        <f t="shared" si="60"/>
        <v>#N/A</v>
      </c>
      <c r="AW107" s="120" t="e">
        <f t="shared" si="61"/>
        <v>#N/A</v>
      </c>
      <c r="AX107" s="120">
        <f t="shared" si="62"/>
      </c>
      <c r="AY107" s="120" t="e">
        <f t="shared" si="63"/>
        <v>#N/A</v>
      </c>
      <c r="AZ107" s="120" t="e">
        <f>VLOOKUP(AY107,'排出係数表'!$A$4:$C$202,2,FALSE)</f>
        <v>#N/A</v>
      </c>
      <c r="BA107" s="120" t="e">
        <f t="shared" si="64"/>
        <v>#N/A</v>
      </c>
      <c r="BB107" s="120" t="e">
        <f>VLOOKUP(AY107,'排出係数表'!$A$4:$C$202,3,FALSE)</f>
        <v>#N/A</v>
      </c>
      <c r="BC107" s="120" t="e">
        <f t="shared" si="65"/>
        <v>#N/A</v>
      </c>
      <c r="BD107" s="120">
        <f t="shared" si="76"/>
        <v>1</v>
      </c>
      <c r="BE107" s="122">
        <f t="shared" si="66"/>
      </c>
      <c r="BF107" s="123" t="e">
        <f t="shared" si="51"/>
        <v>#VALUE!</v>
      </c>
      <c r="BG107" s="122">
        <f t="shared" si="77"/>
      </c>
      <c r="BH107" s="120" t="e">
        <f t="shared" si="78"/>
        <v>#VALUE!</v>
      </c>
      <c r="BI107" s="120" t="e">
        <f t="shared" si="79"/>
        <v>#VALUE!</v>
      </c>
      <c r="BJ107" s="122" t="e">
        <f>VLOOKUP(AY107,'排出係数表'!$A$4:$D$202,4)</f>
        <v>#N/A</v>
      </c>
      <c r="BK107" s="257">
        <f t="shared" si="80"/>
      </c>
    </row>
    <row r="108" spans="1:63" s="124" customFormat="1" ht="13.5" customHeight="1">
      <c r="A108" s="120"/>
      <c r="B108" s="120"/>
      <c r="C108" s="155"/>
      <c r="D108" s="155"/>
      <c r="E108" s="155"/>
      <c r="F108" s="155"/>
      <c r="G108" s="156"/>
      <c r="H108" s="157"/>
      <c r="I108" s="155"/>
      <c r="J108" s="155"/>
      <c r="K108" s="158"/>
      <c r="L108" s="159"/>
      <c r="M108" s="244"/>
      <c r="N108" s="155"/>
      <c r="O108" s="345">
        <f t="shared" si="67"/>
      </c>
      <c r="P108" s="345">
        <f t="shared" si="52"/>
      </c>
      <c r="Q108" s="508"/>
      <c r="R108" s="346"/>
      <c r="S108" s="347"/>
      <c r="T108" s="348"/>
      <c r="U108" s="347"/>
      <c r="V108" s="348"/>
      <c r="W108" s="347"/>
      <c r="X108" s="348"/>
      <c r="Y108" s="347"/>
      <c r="Z108" s="348"/>
      <c r="AA108" s="340" t="e">
        <f t="shared" si="53"/>
        <v>#N/A</v>
      </c>
      <c r="AB108" s="339">
        <f t="shared" si="68"/>
      </c>
      <c r="AC108" s="339">
        <f t="shared" si="69"/>
      </c>
      <c r="AD108" s="255">
        <f t="shared" si="70"/>
      </c>
      <c r="AE108" s="256">
        <f t="shared" si="71"/>
      </c>
      <c r="AF108" s="256">
        <f t="shared" si="72"/>
      </c>
      <c r="AG108" s="255">
        <f t="shared" si="73"/>
      </c>
      <c r="AH108" s="255">
        <f t="shared" si="54"/>
      </c>
      <c r="AI108" s="255">
        <f t="shared" si="74"/>
      </c>
      <c r="AJ108" s="255">
        <f t="shared" si="75"/>
      </c>
      <c r="AK108" s="255">
        <f t="shared" si="55"/>
      </c>
      <c r="AL108" s="255">
        <f t="shared" si="56"/>
      </c>
      <c r="AM108" s="120">
        <f ca="1" t="shared" si="46"/>
        <v>0</v>
      </c>
      <c r="AN108" s="120" t="e">
        <f t="shared" si="57"/>
        <v>#N/A</v>
      </c>
      <c r="AO108" s="120">
        <f>ROWS($AO$4:AO108)-1</f>
        <v>104</v>
      </c>
      <c r="AP108" s="255" t="e">
        <f t="shared" si="58"/>
        <v>#N/A</v>
      </c>
      <c r="AQ108" s="120" t="e">
        <f t="shared" si="59"/>
        <v>#N/A</v>
      </c>
      <c r="AR108" s="120" t="e">
        <f t="shared" si="81"/>
        <v>#N/A</v>
      </c>
      <c r="AS108" s="121">
        <f t="shared" si="48"/>
        <v>1</v>
      </c>
      <c r="AT108" s="120" t="str">
        <f t="shared" si="49"/>
        <v> </v>
      </c>
      <c r="AU108" s="120" t="str">
        <f t="shared" si="50"/>
        <v> </v>
      </c>
      <c r="AV108" s="120" t="e">
        <f t="shared" si="60"/>
        <v>#N/A</v>
      </c>
      <c r="AW108" s="120" t="e">
        <f t="shared" si="61"/>
        <v>#N/A</v>
      </c>
      <c r="AX108" s="120">
        <f t="shared" si="62"/>
      </c>
      <c r="AY108" s="120" t="e">
        <f t="shared" si="63"/>
        <v>#N/A</v>
      </c>
      <c r="AZ108" s="120" t="e">
        <f>VLOOKUP(AY108,'排出係数表'!$A$4:$C$202,2,FALSE)</f>
        <v>#N/A</v>
      </c>
      <c r="BA108" s="120" t="e">
        <f t="shared" si="64"/>
        <v>#N/A</v>
      </c>
      <c r="BB108" s="120" t="e">
        <f>VLOOKUP(AY108,'排出係数表'!$A$4:$C$202,3,FALSE)</f>
        <v>#N/A</v>
      </c>
      <c r="BC108" s="120" t="e">
        <f t="shared" si="65"/>
        <v>#N/A</v>
      </c>
      <c r="BD108" s="120">
        <f t="shared" si="76"/>
        <v>1</v>
      </c>
      <c r="BE108" s="122">
        <f t="shared" si="66"/>
      </c>
      <c r="BF108" s="123" t="e">
        <f t="shared" si="51"/>
        <v>#VALUE!</v>
      </c>
      <c r="BG108" s="122">
        <f t="shared" si="77"/>
      </c>
      <c r="BH108" s="120" t="e">
        <f t="shared" si="78"/>
        <v>#VALUE!</v>
      </c>
      <c r="BI108" s="120" t="e">
        <f t="shared" si="79"/>
        <v>#VALUE!</v>
      </c>
      <c r="BJ108" s="122" t="e">
        <f>VLOOKUP(AY108,'排出係数表'!$A$4:$D$202,4)</f>
        <v>#N/A</v>
      </c>
      <c r="BK108" s="257">
        <f t="shared" si="80"/>
      </c>
    </row>
    <row r="109" spans="1:63" s="124" customFormat="1" ht="13.5" customHeight="1">
      <c r="A109" s="120"/>
      <c r="B109" s="120"/>
      <c r="C109" s="155"/>
      <c r="D109" s="155"/>
      <c r="E109" s="155"/>
      <c r="F109" s="155"/>
      <c r="G109" s="156"/>
      <c r="H109" s="157"/>
      <c r="I109" s="155"/>
      <c r="J109" s="155"/>
      <c r="K109" s="158"/>
      <c r="L109" s="159"/>
      <c r="M109" s="244"/>
      <c r="N109" s="155"/>
      <c r="O109" s="345">
        <f t="shared" si="67"/>
      </c>
      <c r="P109" s="345">
        <f t="shared" si="52"/>
      </c>
      <c r="Q109" s="508"/>
      <c r="R109" s="346"/>
      <c r="S109" s="347"/>
      <c r="T109" s="348"/>
      <c r="U109" s="347"/>
      <c r="V109" s="348"/>
      <c r="W109" s="347"/>
      <c r="X109" s="348"/>
      <c r="Y109" s="347"/>
      <c r="Z109" s="348"/>
      <c r="AA109" s="340" t="e">
        <f t="shared" si="53"/>
        <v>#N/A</v>
      </c>
      <c r="AB109" s="339">
        <f t="shared" si="68"/>
      </c>
      <c r="AC109" s="339">
        <f t="shared" si="69"/>
      </c>
      <c r="AD109" s="255">
        <f t="shared" si="70"/>
      </c>
      <c r="AE109" s="256">
        <f t="shared" si="71"/>
      </c>
      <c r="AF109" s="256">
        <f t="shared" si="72"/>
      </c>
      <c r="AG109" s="255">
        <f t="shared" si="73"/>
      </c>
      <c r="AH109" s="255">
        <f t="shared" si="54"/>
      </c>
      <c r="AI109" s="255">
        <f t="shared" si="74"/>
      </c>
      <c r="AJ109" s="255">
        <f t="shared" si="75"/>
      </c>
      <c r="AK109" s="255">
        <f t="shared" si="55"/>
      </c>
      <c r="AL109" s="255">
        <f t="shared" si="56"/>
      </c>
      <c r="AM109" s="120">
        <f ca="1" t="shared" si="46"/>
        <v>0</v>
      </c>
      <c r="AN109" s="120" t="e">
        <f t="shared" si="57"/>
        <v>#N/A</v>
      </c>
      <c r="AO109" s="120">
        <f>ROWS($AO$4:AO109)-1</f>
        <v>105</v>
      </c>
      <c r="AP109" s="255" t="e">
        <f t="shared" si="58"/>
        <v>#N/A</v>
      </c>
      <c r="AQ109" s="120" t="e">
        <f t="shared" si="59"/>
        <v>#N/A</v>
      </c>
      <c r="AR109" s="120" t="e">
        <f t="shared" si="81"/>
        <v>#N/A</v>
      </c>
      <c r="AS109" s="121">
        <f t="shared" si="48"/>
        <v>1</v>
      </c>
      <c r="AT109" s="120" t="str">
        <f t="shared" si="49"/>
        <v> </v>
      </c>
      <c r="AU109" s="120" t="str">
        <f t="shared" si="50"/>
        <v> </v>
      </c>
      <c r="AV109" s="120" t="e">
        <f t="shared" si="60"/>
        <v>#N/A</v>
      </c>
      <c r="AW109" s="120" t="e">
        <f t="shared" si="61"/>
        <v>#N/A</v>
      </c>
      <c r="AX109" s="120">
        <f t="shared" si="62"/>
      </c>
      <c r="AY109" s="120" t="e">
        <f t="shared" si="63"/>
        <v>#N/A</v>
      </c>
      <c r="AZ109" s="120" t="e">
        <f>VLOOKUP(AY109,'排出係数表'!$A$4:$C$202,2,FALSE)</f>
        <v>#N/A</v>
      </c>
      <c r="BA109" s="120" t="e">
        <f t="shared" si="64"/>
        <v>#N/A</v>
      </c>
      <c r="BB109" s="120" t="e">
        <f>VLOOKUP(AY109,'排出係数表'!$A$4:$C$202,3,FALSE)</f>
        <v>#N/A</v>
      </c>
      <c r="BC109" s="120" t="e">
        <f t="shared" si="65"/>
        <v>#N/A</v>
      </c>
      <c r="BD109" s="120">
        <f t="shared" si="76"/>
        <v>1</v>
      </c>
      <c r="BE109" s="122">
        <f t="shared" si="66"/>
      </c>
      <c r="BF109" s="123" t="e">
        <f t="shared" si="51"/>
        <v>#VALUE!</v>
      </c>
      <c r="BG109" s="122">
        <f t="shared" si="77"/>
      </c>
      <c r="BH109" s="120" t="e">
        <f t="shared" si="78"/>
        <v>#VALUE!</v>
      </c>
      <c r="BI109" s="120" t="e">
        <f t="shared" si="79"/>
        <v>#VALUE!</v>
      </c>
      <c r="BJ109" s="122" t="e">
        <f>VLOOKUP(AY109,'排出係数表'!$A$4:$D$202,4)</f>
        <v>#N/A</v>
      </c>
      <c r="BK109" s="257">
        <f t="shared" si="80"/>
      </c>
    </row>
    <row r="110" spans="1:63" s="124" customFormat="1" ht="13.5" customHeight="1">
      <c r="A110" s="120"/>
      <c r="B110" s="120"/>
      <c r="C110" s="155"/>
      <c r="D110" s="155"/>
      <c r="E110" s="155"/>
      <c r="F110" s="155"/>
      <c r="G110" s="156"/>
      <c r="H110" s="157"/>
      <c r="I110" s="155"/>
      <c r="J110" s="155"/>
      <c r="K110" s="158"/>
      <c r="L110" s="159"/>
      <c r="M110" s="244"/>
      <c r="N110" s="155"/>
      <c r="O110" s="345">
        <f t="shared" si="67"/>
      </c>
      <c r="P110" s="345">
        <f t="shared" si="52"/>
      </c>
      <c r="Q110" s="508"/>
      <c r="R110" s="346"/>
      <c r="S110" s="347"/>
      <c r="T110" s="348"/>
      <c r="U110" s="347"/>
      <c r="V110" s="348"/>
      <c r="W110" s="347"/>
      <c r="X110" s="348"/>
      <c r="Y110" s="347"/>
      <c r="Z110" s="348"/>
      <c r="AA110" s="340" t="e">
        <f t="shared" si="53"/>
        <v>#N/A</v>
      </c>
      <c r="AB110" s="339">
        <f t="shared" si="68"/>
      </c>
      <c r="AC110" s="339">
        <f t="shared" si="69"/>
      </c>
      <c r="AD110" s="255">
        <f t="shared" si="70"/>
      </c>
      <c r="AE110" s="256">
        <f t="shared" si="71"/>
      </c>
      <c r="AF110" s="256">
        <f t="shared" si="72"/>
      </c>
      <c r="AG110" s="255">
        <f t="shared" si="73"/>
      </c>
      <c r="AH110" s="255">
        <f t="shared" si="54"/>
      </c>
      <c r="AI110" s="255">
        <f t="shared" si="74"/>
      </c>
      <c r="AJ110" s="255">
        <f t="shared" si="75"/>
      </c>
      <c r="AK110" s="255">
        <f t="shared" si="55"/>
      </c>
      <c r="AL110" s="255">
        <f t="shared" si="56"/>
      </c>
      <c r="AM110" s="120">
        <f ca="1" t="shared" si="46"/>
        <v>0</v>
      </c>
      <c r="AN110" s="120" t="e">
        <f t="shared" si="57"/>
        <v>#N/A</v>
      </c>
      <c r="AO110" s="120">
        <f>ROWS($AO$4:AO110)-1</f>
        <v>106</v>
      </c>
      <c r="AP110" s="255" t="e">
        <f t="shared" si="58"/>
        <v>#N/A</v>
      </c>
      <c r="AQ110" s="120" t="e">
        <f t="shared" si="59"/>
        <v>#N/A</v>
      </c>
      <c r="AR110" s="120" t="e">
        <f t="shared" si="81"/>
        <v>#N/A</v>
      </c>
      <c r="AS110" s="121">
        <f t="shared" si="48"/>
        <v>1</v>
      </c>
      <c r="AT110" s="120" t="str">
        <f t="shared" si="49"/>
        <v> </v>
      </c>
      <c r="AU110" s="120" t="str">
        <f t="shared" si="50"/>
        <v> </v>
      </c>
      <c r="AV110" s="120" t="e">
        <f t="shared" si="60"/>
        <v>#N/A</v>
      </c>
      <c r="AW110" s="120" t="e">
        <f t="shared" si="61"/>
        <v>#N/A</v>
      </c>
      <c r="AX110" s="120">
        <f t="shared" si="62"/>
      </c>
      <c r="AY110" s="120" t="e">
        <f t="shared" si="63"/>
        <v>#N/A</v>
      </c>
      <c r="AZ110" s="120" t="e">
        <f>VLOOKUP(AY110,'排出係数表'!$A$4:$C$202,2,FALSE)</f>
        <v>#N/A</v>
      </c>
      <c r="BA110" s="120" t="e">
        <f t="shared" si="64"/>
        <v>#N/A</v>
      </c>
      <c r="BB110" s="120" t="e">
        <f>VLOOKUP(AY110,'排出係数表'!$A$4:$C$202,3,FALSE)</f>
        <v>#N/A</v>
      </c>
      <c r="BC110" s="120" t="e">
        <f t="shared" si="65"/>
        <v>#N/A</v>
      </c>
      <c r="BD110" s="120">
        <f t="shared" si="76"/>
        <v>1</v>
      </c>
      <c r="BE110" s="122">
        <f t="shared" si="66"/>
      </c>
      <c r="BF110" s="123" t="e">
        <f t="shared" si="51"/>
        <v>#VALUE!</v>
      </c>
      <c r="BG110" s="122">
        <f t="shared" si="77"/>
      </c>
      <c r="BH110" s="120" t="e">
        <f t="shared" si="78"/>
        <v>#VALUE!</v>
      </c>
      <c r="BI110" s="120" t="e">
        <f t="shared" si="79"/>
        <v>#VALUE!</v>
      </c>
      <c r="BJ110" s="122" t="e">
        <f>VLOOKUP(AY110,'排出係数表'!$A$4:$D$202,4)</f>
        <v>#N/A</v>
      </c>
      <c r="BK110" s="257">
        <f t="shared" si="80"/>
      </c>
    </row>
    <row r="111" spans="1:63" s="124" customFormat="1" ht="13.5" customHeight="1">
      <c r="A111" s="120"/>
      <c r="B111" s="120"/>
      <c r="C111" s="155"/>
      <c r="D111" s="155"/>
      <c r="E111" s="155"/>
      <c r="F111" s="155"/>
      <c r="G111" s="156"/>
      <c r="H111" s="157"/>
      <c r="I111" s="155"/>
      <c r="J111" s="155"/>
      <c r="K111" s="158"/>
      <c r="L111" s="159"/>
      <c r="M111" s="244"/>
      <c r="N111" s="155"/>
      <c r="O111" s="345">
        <f t="shared" si="67"/>
      </c>
      <c r="P111" s="345">
        <f t="shared" si="52"/>
      </c>
      <c r="Q111" s="508"/>
      <c r="R111" s="346"/>
      <c r="S111" s="347"/>
      <c r="T111" s="348"/>
      <c r="U111" s="347"/>
      <c r="V111" s="348"/>
      <c r="W111" s="347"/>
      <c r="X111" s="348"/>
      <c r="Y111" s="347"/>
      <c r="Z111" s="348"/>
      <c r="AA111" s="340" t="e">
        <f t="shared" si="53"/>
        <v>#N/A</v>
      </c>
      <c r="AB111" s="339">
        <f t="shared" si="68"/>
      </c>
      <c r="AC111" s="339">
        <f t="shared" si="69"/>
      </c>
      <c r="AD111" s="255">
        <f t="shared" si="70"/>
      </c>
      <c r="AE111" s="256">
        <f t="shared" si="71"/>
      </c>
      <c r="AF111" s="256">
        <f t="shared" si="72"/>
      </c>
      <c r="AG111" s="255">
        <f t="shared" si="73"/>
      </c>
      <c r="AH111" s="255">
        <f t="shared" si="54"/>
      </c>
      <c r="AI111" s="255">
        <f t="shared" si="74"/>
      </c>
      <c r="AJ111" s="255">
        <f t="shared" si="75"/>
      </c>
      <c r="AK111" s="255">
        <f t="shared" si="55"/>
      </c>
      <c r="AL111" s="255">
        <f t="shared" si="56"/>
      </c>
      <c r="AM111" s="120">
        <f ca="1" t="shared" si="46"/>
        <v>0</v>
      </c>
      <c r="AN111" s="120" t="e">
        <f t="shared" si="57"/>
        <v>#N/A</v>
      </c>
      <c r="AO111" s="120">
        <f>ROWS($AO$4:AO111)-1</f>
        <v>107</v>
      </c>
      <c r="AP111" s="255" t="e">
        <f t="shared" si="58"/>
        <v>#N/A</v>
      </c>
      <c r="AQ111" s="120" t="e">
        <f t="shared" si="59"/>
        <v>#N/A</v>
      </c>
      <c r="AR111" s="120" t="e">
        <f t="shared" si="81"/>
        <v>#N/A</v>
      </c>
      <c r="AS111" s="121">
        <f t="shared" si="48"/>
        <v>1</v>
      </c>
      <c r="AT111" s="120" t="str">
        <f t="shared" si="49"/>
        <v> </v>
      </c>
      <c r="AU111" s="120" t="str">
        <f t="shared" si="50"/>
        <v> </v>
      </c>
      <c r="AV111" s="120" t="e">
        <f t="shared" si="60"/>
        <v>#N/A</v>
      </c>
      <c r="AW111" s="120" t="e">
        <f t="shared" si="61"/>
        <v>#N/A</v>
      </c>
      <c r="AX111" s="120">
        <f t="shared" si="62"/>
      </c>
      <c r="AY111" s="120" t="e">
        <f t="shared" si="63"/>
        <v>#N/A</v>
      </c>
      <c r="AZ111" s="120" t="e">
        <f>VLOOKUP(AY111,'排出係数表'!$A$4:$C$202,2,FALSE)</f>
        <v>#N/A</v>
      </c>
      <c r="BA111" s="120" t="e">
        <f t="shared" si="64"/>
        <v>#N/A</v>
      </c>
      <c r="BB111" s="120" t="e">
        <f>VLOOKUP(AY111,'排出係数表'!$A$4:$C$202,3,FALSE)</f>
        <v>#N/A</v>
      </c>
      <c r="BC111" s="120" t="e">
        <f t="shared" si="65"/>
        <v>#N/A</v>
      </c>
      <c r="BD111" s="120">
        <f t="shared" si="76"/>
        <v>1</v>
      </c>
      <c r="BE111" s="122">
        <f t="shared" si="66"/>
      </c>
      <c r="BF111" s="123" t="e">
        <f t="shared" si="51"/>
        <v>#VALUE!</v>
      </c>
      <c r="BG111" s="122">
        <f t="shared" si="77"/>
      </c>
      <c r="BH111" s="120" t="e">
        <f t="shared" si="78"/>
        <v>#VALUE!</v>
      </c>
      <c r="BI111" s="120" t="e">
        <f t="shared" si="79"/>
        <v>#VALUE!</v>
      </c>
      <c r="BJ111" s="122" t="e">
        <f>VLOOKUP(AY111,'排出係数表'!$A$4:$D$202,4)</f>
        <v>#N/A</v>
      </c>
      <c r="BK111" s="257">
        <f t="shared" si="80"/>
      </c>
    </row>
    <row r="112" spans="1:63" s="124" customFormat="1" ht="13.5" customHeight="1">
      <c r="A112" s="120"/>
      <c r="B112" s="120"/>
      <c r="C112" s="155"/>
      <c r="D112" s="155"/>
      <c r="E112" s="155"/>
      <c r="F112" s="155"/>
      <c r="G112" s="156"/>
      <c r="H112" s="157"/>
      <c r="I112" s="155"/>
      <c r="J112" s="155"/>
      <c r="K112" s="158"/>
      <c r="L112" s="159"/>
      <c r="M112" s="244"/>
      <c r="N112" s="155"/>
      <c r="O112" s="345">
        <f t="shared" si="67"/>
      </c>
      <c r="P112" s="345">
        <f t="shared" si="52"/>
      </c>
      <c r="Q112" s="508"/>
      <c r="R112" s="346"/>
      <c r="S112" s="347"/>
      <c r="T112" s="348"/>
      <c r="U112" s="347"/>
      <c r="V112" s="348"/>
      <c r="W112" s="347"/>
      <c r="X112" s="348"/>
      <c r="Y112" s="347"/>
      <c r="Z112" s="348"/>
      <c r="AA112" s="340" t="e">
        <f t="shared" si="53"/>
        <v>#N/A</v>
      </c>
      <c r="AB112" s="339">
        <f t="shared" si="68"/>
      </c>
      <c r="AC112" s="339">
        <f t="shared" si="69"/>
      </c>
      <c r="AD112" s="255">
        <f t="shared" si="70"/>
      </c>
      <c r="AE112" s="256">
        <f t="shared" si="71"/>
      </c>
      <c r="AF112" s="256">
        <f t="shared" si="72"/>
      </c>
      <c r="AG112" s="255">
        <f t="shared" si="73"/>
      </c>
      <c r="AH112" s="255">
        <f t="shared" si="54"/>
      </c>
      <c r="AI112" s="255">
        <f t="shared" si="74"/>
      </c>
      <c r="AJ112" s="255">
        <f t="shared" si="75"/>
      </c>
      <c r="AK112" s="255">
        <f t="shared" si="55"/>
      </c>
      <c r="AL112" s="255">
        <f t="shared" si="56"/>
      </c>
      <c r="AM112" s="120">
        <f ca="1" t="shared" si="46"/>
        <v>0</v>
      </c>
      <c r="AN112" s="120" t="e">
        <f t="shared" si="57"/>
        <v>#N/A</v>
      </c>
      <c r="AO112" s="120">
        <f>ROWS($AO$4:AO112)-1</f>
        <v>108</v>
      </c>
      <c r="AP112" s="255" t="e">
        <f t="shared" si="58"/>
        <v>#N/A</v>
      </c>
      <c r="AQ112" s="120" t="e">
        <f t="shared" si="59"/>
        <v>#N/A</v>
      </c>
      <c r="AR112" s="120" t="e">
        <f t="shared" si="81"/>
        <v>#N/A</v>
      </c>
      <c r="AS112" s="121">
        <f t="shared" si="48"/>
        <v>1</v>
      </c>
      <c r="AT112" s="120" t="str">
        <f t="shared" si="49"/>
        <v> </v>
      </c>
      <c r="AU112" s="120" t="str">
        <f t="shared" si="50"/>
        <v> </v>
      </c>
      <c r="AV112" s="120" t="e">
        <f t="shared" si="60"/>
        <v>#N/A</v>
      </c>
      <c r="AW112" s="120" t="e">
        <f t="shared" si="61"/>
        <v>#N/A</v>
      </c>
      <c r="AX112" s="120">
        <f t="shared" si="62"/>
      </c>
      <c r="AY112" s="120" t="e">
        <f t="shared" si="63"/>
        <v>#N/A</v>
      </c>
      <c r="AZ112" s="120" t="e">
        <f>VLOOKUP(AY112,'排出係数表'!$A$4:$C$202,2,FALSE)</f>
        <v>#N/A</v>
      </c>
      <c r="BA112" s="120" t="e">
        <f t="shared" si="64"/>
        <v>#N/A</v>
      </c>
      <c r="BB112" s="120" t="e">
        <f>VLOOKUP(AY112,'排出係数表'!$A$4:$C$202,3,FALSE)</f>
        <v>#N/A</v>
      </c>
      <c r="BC112" s="120" t="e">
        <f t="shared" si="65"/>
        <v>#N/A</v>
      </c>
      <c r="BD112" s="120">
        <f t="shared" si="76"/>
        <v>1</v>
      </c>
      <c r="BE112" s="122">
        <f t="shared" si="66"/>
      </c>
      <c r="BF112" s="123" t="e">
        <f t="shared" si="51"/>
        <v>#VALUE!</v>
      </c>
      <c r="BG112" s="122">
        <f t="shared" si="77"/>
      </c>
      <c r="BH112" s="120" t="e">
        <f t="shared" si="78"/>
        <v>#VALUE!</v>
      </c>
      <c r="BI112" s="120" t="e">
        <f t="shared" si="79"/>
        <v>#VALUE!</v>
      </c>
      <c r="BJ112" s="122" t="e">
        <f>VLOOKUP(AY112,'排出係数表'!$A$4:$D$202,4)</f>
        <v>#N/A</v>
      </c>
      <c r="BK112" s="257">
        <f t="shared" si="80"/>
      </c>
    </row>
    <row r="113" spans="1:63" s="124" customFormat="1" ht="13.5" customHeight="1">
      <c r="A113" s="120"/>
      <c r="B113" s="120"/>
      <c r="C113" s="155"/>
      <c r="D113" s="155"/>
      <c r="E113" s="155"/>
      <c r="F113" s="155"/>
      <c r="G113" s="156"/>
      <c r="H113" s="157"/>
      <c r="I113" s="155"/>
      <c r="J113" s="155"/>
      <c r="K113" s="158"/>
      <c r="L113" s="159"/>
      <c r="M113" s="244"/>
      <c r="N113" s="155"/>
      <c r="O113" s="345">
        <f t="shared" si="67"/>
      </c>
      <c r="P113" s="345">
        <f t="shared" si="52"/>
      </c>
      <c r="Q113" s="508"/>
      <c r="R113" s="346"/>
      <c r="S113" s="347"/>
      <c r="T113" s="348"/>
      <c r="U113" s="347"/>
      <c r="V113" s="348"/>
      <c r="W113" s="347"/>
      <c r="X113" s="348"/>
      <c r="Y113" s="347"/>
      <c r="Z113" s="348"/>
      <c r="AA113" s="340" t="e">
        <f t="shared" si="53"/>
        <v>#N/A</v>
      </c>
      <c r="AB113" s="339">
        <f t="shared" si="68"/>
      </c>
      <c r="AC113" s="339">
        <f t="shared" si="69"/>
      </c>
      <c r="AD113" s="255">
        <f t="shared" si="70"/>
      </c>
      <c r="AE113" s="256">
        <f t="shared" si="71"/>
      </c>
      <c r="AF113" s="256">
        <f t="shared" si="72"/>
      </c>
      <c r="AG113" s="255">
        <f t="shared" si="73"/>
      </c>
      <c r="AH113" s="255">
        <f t="shared" si="54"/>
      </c>
      <c r="AI113" s="255">
        <f t="shared" si="74"/>
      </c>
      <c r="AJ113" s="255">
        <f t="shared" si="75"/>
      </c>
      <c r="AK113" s="255">
        <f t="shared" si="55"/>
      </c>
      <c r="AL113" s="255">
        <f t="shared" si="56"/>
      </c>
      <c r="AM113" s="120">
        <f ca="1" t="shared" si="46"/>
        <v>0</v>
      </c>
      <c r="AN113" s="120" t="e">
        <f t="shared" si="57"/>
        <v>#N/A</v>
      </c>
      <c r="AO113" s="120">
        <f>ROWS($AO$4:AO113)-1</f>
        <v>109</v>
      </c>
      <c r="AP113" s="255" t="e">
        <f t="shared" si="58"/>
        <v>#N/A</v>
      </c>
      <c r="AQ113" s="120" t="e">
        <f t="shared" si="59"/>
        <v>#N/A</v>
      </c>
      <c r="AR113" s="120" t="e">
        <f t="shared" si="81"/>
        <v>#N/A</v>
      </c>
      <c r="AS113" s="121">
        <f t="shared" si="48"/>
        <v>1</v>
      </c>
      <c r="AT113" s="120" t="str">
        <f t="shared" si="49"/>
        <v> </v>
      </c>
      <c r="AU113" s="120" t="str">
        <f t="shared" si="50"/>
        <v> </v>
      </c>
      <c r="AV113" s="120" t="e">
        <f t="shared" si="60"/>
        <v>#N/A</v>
      </c>
      <c r="AW113" s="120" t="e">
        <f t="shared" si="61"/>
        <v>#N/A</v>
      </c>
      <c r="AX113" s="120">
        <f t="shared" si="62"/>
      </c>
      <c r="AY113" s="120" t="e">
        <f t="shared" si="63"/>
        <v>#N/A</v>
      </c>
      <c r="AZ113" s="120" t="e">
        <f>VLOOKUP(AY113,'排出係数表'!$A$4:$C$202,2,FALSE)</f>
        <v>#N/A</v>
      </c>
      <c r="BA113" s="120" t="e">
        <f t="shared" si="64"/>
        <v>#N/A</v>
      </c>
      <c r="BB113" s="120" t="e">
        <f>VLOOKUP(AY113,'排出係数表'!$A$4:$C$202,3,FALSE)</f>
        <v>#N/A</v>
      </c>
      <c r="BC113" s="120" t="e">
        <f t="shared" si="65"/>
        <v>#N/A</v>
      </c>
      <c r="BD113" s="120">
        <f t="shared" si="76"/>
        <v>1</v>
      </c>
      <c r="BE113" s="122">
        <f t="shared" si="66"/>
      </c>
      <c r="BF113" s="123" t="e">
        <f t="shared" si="51"/>
        <v>#VALUE!</v>
      </c>
      <c r="BG113" s="122">
        <f t="shared" si="77"/>
      </c>
      <c r="BH113" s="120" t="e">
        <f t="shared" si="78"/>
        <v>#VALUE!</v>
      </c>
      <c r="BI113" s="120" t="e">
        <f t="shared" si="79"/>
        <v>#VALUE!</v>
      </c>
      <c r="BJ113" s="122" t="e">
        <f>VLOOKUP(AY113,'排出係数表'!$A$4:$D$202,4)</f>
        <v>#N/A</v>
      </c>
      <c r="BK113" s="257">
        <f t="shared" si="80"/>
      </c>
    </row>
    <row r="114" spans="1:63" s="124" customFormat="1" ht="13.5" customHeight="1">
      <c r="A114" s="120"/>
      <c r="B114" s="120"/>
      <c r="C114" s="155"/>
      <c r="D114" s="155"/>
      <c r="E114" s="155"/>
      <c r="F114" s="155"/>
      <c r="G114" s="156"/>
      <c r="H114" s="157"/>
      <c r="I114" s="155"/>
      <c r="J114" s="155"/>
      <c r="K114" s="158"/>
      <c r="L114" s="159"/>
      <c r="M114" s="244"/>
      <c r="N114" s="155"/>
      <c r="O114" s="345">
        <f t="shared" si="67"/>
      </c>
      <c r="P114" s="345">
        <f t="shared" si="52"/>
      </c>
      <c r="Q114" s="508"/>
      <c r="R114" s="346"/>
      <c r="S114" s="347"/>
      <c r="T114" s="348"/>
      <c r="U114" s="347"/>
      <c r="V114" s="348"/>
      <c r="W114" s="347"/>
      <c r="X114" s="348"/>
      <c r="Y114" s="347"/>
      <c r="Z114" s="348"/>
      <c r="AA114" s="340" t="e">
        <f t="shared" si="53"/>
        <v>#N/A</v>
      </c>
      <c r="AB114" s="339">
        <f t="shared" si="68"/>
      </c>
      <c r="AC114" s="339">
        <f t="shared" si="69"/>
      </c>
      <c r="AD114" s="255">
        <f t="shared" si="70"/>
      </c>
      <c r="AE114" s="256">
        <f t="shared" si="71"/>
      </c>
      <c r="AF114" s="256">
        <f t="shared" si="72"/>
      </c>
      <c r="AG114" s="255">
        <f t="shared" si="73"/>
      </c>
      <c r="AH114" s="255">
        <f t="shared" si="54"/>
      </c>
      <c r="AI114" s="255">
        <f t="shared" si="74"/>
      </c>
      <c r="AJ114" s="255">
        <f t="shared" si="75"/>
      </c>
      <c r="AK114" s="255">
        <f t="shared" si="55"/>
      </c>
      <c r="AL114" s="255">
        <f t="shared" si="56"/>
      </c>
      <c r="AM114" s="120">
        <f ca="1" t="shared" si="46"/>
        <v>0</v>
      </c>
      <c r="AN114" s="120" t="e">
        <f t="shared" si="57"/>
        <v>#N/A</v>
      </c>
      <c r="AO114" s="120">
        <f>ROWS($AO$4:AO114)-1</f>
        <v>110</v>
      </c>
      <c r="AP114" s="255" t="e">
        <f t="shared" si="58"/>
        <v>#N/A</v>
      </c>
      <c r="AQ114" s="120" t="e">
        <f t="shared" si="59"/>
        <v>#N/A</v>
      </c>
      <c r="AR114" s="120" t="e">
        <f t="shared" si="81"/>
        <v>#N/A</v>
      </c>
      <c r="AS114" s="121">
        <f t="shared" si="48"/>
        <v>1</v>
      </c>
      <c r="AT114" s="120" t="str">
        <f t="shared" si="49"/>
        <v> </v>
      </c>
      <c r="AU114" s="120" t="str">
        <f t="shared" si="50"/>
        <v> </v>
      </c>
      <c r="AV114" s="120" t="e">
        <f t="shared" si="60"/>
        <v>#N/A</v>
      </c>
      <c r="AW114" s="120" t="e">
        <f t="shared" si="61"/>
        <v>#N/A</v>
      </c>
      <c r="AX114" s="120">
        <f t="shared" si="62"/>
      </c>
      <c r="AY114" s="120" t="e">
        <f t="shared" si="63"/>
        <v>#N/A</v>
      </c>
      <c r="AZ114" s="120" t="e">
        <f>VLOOKUP(AY114,'排出係数表'!$A$4:$C$202,2,FALSE)</f>
        <v>#N/A</v>
      </c>
      <c r="BA114" s="120" t="e">
        <f t="shared" si="64"/>
        <v>#N/A</v>
      </c>
      <c r="BB114" s="120" t="e">
        <f>VLOOKUP(AY114,'排出係数表'!$A$4:$C$202,3,FALSE)</f>
        <v>#N/A</v>
      </c>
      <c r="BC114" s="120" t="e">
        <f t="shared" si="65"/>
        <v>#N/A</v>
      </c>
      <c r="BD114" s="120">
        <f t="shared" si="76"/>
        <v>1</v>
      </c>
      <c r="BE114" s="122">
        <f t="shared" si="66"/>
      </c>
      <c r="BF114" s="123" t="e">
        <f t="shared" si="51"/>
        <v>#VALUE!</v>
      </c>
      <c r="BG114" s="122">
        <f t="shared" si="77"/>
      </c>
      <c r="BH114" s="120" t="e">
        <f t="shared" si="78"/>
        <v>#VALUE!</v>
      </c>
      <c r="BI114" s="120" t="e">
        <f t="shared" si="79"/>
        <v>#VALUE!</v>
      </c>
      <c r="BJ114" s="122" t="e">
        <f>VLOOKUP(AY114,'排出係数表'!$A$4:$D$202,4)</f>
        <v>#N/A</v>
      </c>
      <c r="BK114" s="257">
        <f t="shared" si="80"/>
      </c>
    </row>
    <row r="115" spans="1:63" s="124" customFormat="1" ht="13.5" customHeight="1">
      <c r="A115" s="120"/>
      <c r="B115" s="120"/>
      <c r="C115" s="155"/>
      <c r="D115" s="155"/>
      <c r="E115" s="155"/>
      <c r="F115" s="155"/>
      <c r="G115" s="156"/>
      <c r="H115" s="157"/>
      <c r="I115" s="155"/>
      <c r="J115" s="155"/>
      <c r="K115" s="158"/>
      <c r="L115" s="159"/>
      <c r="M115" s="244"/>
      <c r="N115" s="155"/>
      <c r="O115" s="345">
        <f t="shared" si="67"/>
      </c>
      <c r="P115" s="345">
        <f t="shared" si="52"/>
      </c>
      <c r="Q115" s="508"/>
      <c r="R115" s="346"/>
      <c r="S115" s="347"/>
      <c r="T115" s="348"/>
      <c r="U115" s="347"/>
      <c r="V115" s="348"/>
      <c r="W115" s="347"/>
      <c r="X115" s="348"/>
      <c r="Y115" s="347"/>
      <c r="Z115" s="348"/>
      <c r="AA115" s="340" t="e">
        <f t="shared" si="53"/>
        <v>#N/A</v>
      </c>
      <c r="AB115" s="339">
        <f t="shared" si="68"/>
      </c>
      <c r="AC115" s="339">
        <f t="shared" si="69"/>
      </c>
      <c r="AD115" s="255">
        <f t="shared" si="70"/>
      </c>
      <c r="AE115" s="256">
        <f t="shared" si="71"/>
      </c>
      <c r="AF115" s="256">
        <f t="shared" si="72"/>
      </c>
      <c r="AG115" s="255">
        <f t="shared" si="73"/>
      </c>
      <c r="AH115" s="255">
        <f t="shared" si="54"/>
      </c>
      <c r="AI115" s="255">
        <f t="shared" si="74"/>
      </c>
      <c r="AJ115" s="255">
        <f t="shared" si="75"/>
      </c>
      <c r="AK115" s="255">
        <f t="shared" si="55"/>
      </c>
      <c r="AL115" s="255">
        <f t="shared" si="56"/>
      </c>
      <c r="AM115" s="120">
        <f ca="1" t="shared" si="46"/>
        <v>0</v>
      </c>
      <c r="AN115" s="120" t="e">
        <f t="shared" si="57"/>
        <v>#N/A</v>
      </c>
      <c r="AO115" s="120">
        <f>ROWS($AO$4:AO115)-1</f>
        <v>111</v>
      </c>
      <c r="AP115" s="255" t="e">
        <f t="shared" si="58"/>
        <v>#N/A</v>
      </c>
      <c r="AQ115" s="120" t="e">
        <f t="shared" si="59"/>
        <v>#N/A</v>
      </c>
      <c r="AR115" s="120" t="e">
        <f t="shared" si="81"/>
        <v>#N/A</v>
      </c>
      <c r="AS115" s="121">
        <f t="shared" si="48"/>
        <v>1</v>
      </c>
      <c r="AT115" s="120" t="str">
        <f t="shared" si="49"/>
        <v> </v>
      </c>
      <c r="AU115" s="120" t="str">
        <f t="shared" si="50"/>
        <v> </v>
      </c>
      <c r="AV115" s="120" t="e">
        <f t="shared" si="60"/>
        <v>#N/A</v>
      </c>
      <c r="AW115" s="120" t="e">
        <f t="shared" si="61"/>
        <v>#N/A</v>
      </c>
      <c r="AX115" s="120">
        <f t="shared" si="62"/>
      </c>
      <c r="AY115" s="120" t="e">
        <f t="shared" si="63"/>
        <v>#N/A</v>
      </c>
      <c r="AZ115" s="120" t="e">
        <f>VLOOKUP(AY115,'排出係数表'!$A$4:$C$202,2,FALSE)</f>
        <v>#N/A</v>
      </c>
      <c r="BA115" s="120" t="e">
        <f t="shared" si="64"/>
        <v>#N/A</v>
      </c>
      <c r="BB115" s="120" t="e">
        <f>VLOOKUP(AY115,'排出係数表'!$A$4:$C$202,3,FALSE)</f>
        <v>#N/A</v>
      </c>
      <c r="BC115" s="120" t="e">
        <f t="shared" si="65"/>
        <v>#N/A</v>
      </c>
      <c r="BD115" s="120">
        <f t="shared" si="76"/>
        <v>1</v>
      </c>
      <c r="BE115" s="122">
        <f t="shared" si="66"/>
      </c>
      <c r="BF115" s="123" t="e">
        <f t="shared" si="51"/>
        <v>#VALUE!</v>
      </c>
      <c r="BG115" s="122">
        <f t="shared" si="77"/>
      </c>
      <c r="BH115" s="120" t="e">
        <f t="shared" si="78"/>
        <v>#VALUE!</v>
      </c>
      <c r="BI115" s="120" t="e">
        <f t="shared" si="79"/>
        <v>#VALUE!</v>
      </c>
      <c r="BJ115" s="122" t="e">
        <f>VLOOKUP(AY115,'排出係数表'!$A$4:$D$202,4)</f>
        <v>#N/A</v>
      </c>
      <c r="BK115" s="257">
        <f t="shared" si="80"/>
      </c>
    </row>
    <row r="116" spans="1:63" s="124" customFormat="1" ht="13.5" customHeight="1">
      <c r="A116" s="120"/>
      <c r="B116" s="120"/>
      <c r="C116" s="155"/>
      <c r="D116" s="155"/>
      <c r="E116" s="155"/>
      <c r="F116" s="155"/>
      <c r="G116" s="156"/>
      <c r="H116" s="157"/>
      <c r="I116" s="155"/>
      <c r="J116" s="155"/>
      <c r="K116" s="158"/>
      <c r="L116" s="159"/>
      <c r="M116" s="244"/>
      <c r="N116" s="155"/>
      <c r="O116" s="345">
        <f t="shared" si="67"/>
      </c>
      <c r="P116" s="345">
        <f t="shared" si="52"/>
      </c>
      <c r="Q116" s="508"/>
      <c r="R116" s="346"/>
      <c r="S116" s="347"/>
      <c r="T116" s="348"/>
      <c r="U116" s="347"/>
      <c r="V116" s="348"/>
      <c r="W116" s="347"/>
      <c r="X116" s="348"/>
      <c r="Y116" s="347"/>
      <c r="Z116" s="348"/>
      <c r="AA116" s="340" t="e">
        <f t="shared" si="53"/>
        <v>#N/A</v>
      </c>
      <c r="AB116" s="339">
        <f t="shared" si="68"/>
      </c>
      <c r="AC116" s="339">
        <f t="shared" si="69"/>
      </c>
      <c r="AD116" s="255">
        <f t="shared" si="70"/>
      </c>
      <c r="AE116" s="256">
        <f t="shared" si="71"/>
      </c>
      <c r="AF116" s="256">
        <f t="shared" si="72"/>
      </c>
      <c r="AG116" s="255">
        <f t="shared" si="73"/>
      </c>
      <c r="AH116" s="255">
        <f t="shared" si="54"/>
      </c>
      <c r="AI116" s="255">
        <f t="shared" si="74"/>
      </c>
      <c r="AJ116" s="255">
        <f t="shared" si="75"/>
      </c>
      <c r="AK116" s="255">
        <f t="shared" si="55"/>
      </c>
      <c r="AL116" s="255">
        <f t="shared" si="56"/>
      </c>
      <c r="AM116" s="120">
        <f ca="1" t="shared" si="46"/>
        <v>0</v>
      </c>
      <c r="AN116" s="120" t="e">
        <f t="shared" si="57"/>
        <v>#N/A</v>
      </c>
      <c r="AO116" s="120">
        <f>ROWS($AO$4:AO116)-1</f>
        <v>112</v>
      </c>
      <c r="AP116" s="255" t="e">
        <f>AN116-AO116</f>
        <v>#N/A</v>
      </c>
      <c r="AQ116" s="120" t="e">
        <f t="shared" si="59"/>
        <v>#N/A</v>
      </c>
      <c r="AR116" s="120" t="e">
        <f t="shared" si="81"/>
        <v>#N/A</v>
      </c>
      <c r="AS116" s="121">
        <f t="shared" si="48"/>
        <v>1</v>
      </c>
      <c r="AT116" s="120" t="str">
        <f t="shared" si="49"/>
        <v> </v>
      </c>
      <c r="AU116" s="120" t="str">
        <f t="shared" si="50"/>
        <v> </v>
      </c>
      <c r="AV116" s="120" t="e">
        <f t="shared" si="60"/>
        <v>#N/A</v>
      </c>
      <c r="AW116" s="120" t="e">
        <f t="shared" si="61"/>
        <v>#N/A</v>
      </c>
      <c r="AX116" s="120">
        <f t="shared" si="62"/>
      </c>
      <c r="AY116" s="120" t="e">
        <f t="shared" si="63"/>
        <v>#N/A</v>
      </c>
      <c r="AZ116" s="120" t="e">
        <f>VLOOKUP(AY116,'排出係数表'!$A$4:$C$202,2,FALSE)</f>
        <v>#N/A</v>
      </c>
      <c r="BA116" s="120" t="e">
        <f t="shared" si="64"/>
        <v>#N/A</v>
      </c>
      <c r="BB116" s="120" t="e">
        <f>VLOOKUP(AY116,'排出係数表'!$A$4:$C$202,3,FALSE)</f>
        <v>#N/A</v>
      </c>
      <c r="BC116" s="120" t="e">
        <f t="shared" si="65"/>
        <v>#N/A</v>
      </c>
      <c r="BD116" s="120">
        <f t="shared" si="76"/>
        <v>1</v>
      </c>
      <c r="BE116" s="122">
        <f t="shared" si="66"/>
      </c>
      <c r="BF116" s="123" t="e">
        <f t="shared" si="51"/>
        <v>#VALUE!</v>
      </c>
      <c r="BG116" s="122">
        <f t="shared" si="77"/>
      </c>
      <c r="BH116" s="120" t="e">
        <f t="shared" si="78"/>
        <v>#VALUE!</v>
      </c>
      <c r="BI116" s="120" t="e">
        <f t="shared" si="79"/>
        <v>#VALUE!</v>
      </c>
      <c r="BJ116" s="122" t="e">
        <f>VLOOKUP(AY116,'排出係数表'!$A$4:$D$202,4)</f>
        <v>#N/A</v>
      </c>
      <c r="BK116" s="257">
        <f t="shared" si="80"/>
      </c>
    </row>
    <row r="117" spans="1:63" s="124" customFormat="1" ht="13.5" customHeight="1">
      <c r="A117" s="120"/>
      <c r="B117" s="120"/>
      <c r="C117" s="155"/>
      <c r="D117" s="155"/>
      <c r="E117" s="155"/>
      <c r="F117" s="155"/>
      <c r="G117" s="156"/>
      <c r="H117" s="157"/>
      <c r="I117" s="155"/>
      <c r="J117" s="155"/>
      <c r="K117" s="158"/>
      <c r="L117" s="159"/>
      <c r="M117" s="244"/>
      <c r="N117" s="155"/>
      <c r="O117" s="345">
        <f t="shared" si="67"/>
      </c>
      <c r="P117" s="345">
        <f t="shared" si="52"/>
      </c>
      <c r="Q117" s="508"/>
      <c r="R117" s="346"/>
      <c r="S117" s="347"/>
      <c r="T117" s="348"/>
      <c r="U117" s="347"/>
      <c r="V117" s="348"/>
      <c r="W117" s="347"/>
      <c r="X117" s="348"/>
      <c r="Y117" s="347"/>
      <c r="Z117" s="348"/>
      <c r="AA117" s="340" t="e">
        <f t="shared" si="53"/>
        <v>#N/A</v>
      </c>
      <c r="AB117" s="339">
        <f t="shared" si="68"/>
      </c>
      <c r="AC117" s="339">
        <f t="shared" si="69"/>
      </c>
      <c r="AD117" s="255">
        <f t="shared" si="70"/>
      </c>
      <c r="AE117" s="256">
        <f t="shared" si="71"/>
      </c>
      <c r="AF117" s="256">
        <f t="shared" si="72"/>
      </c>
      <c r="AG117" s="255">
        <f t="shared" si="73"/>
      </c>
      <c r="AH117" s="255">
        <f t="shared" si="54"/>
      </c>
      <c r="AI117" s="255">
        <f t="shared" si="74"/>
      </c>
      <c r="AJ117" s="255">
        <f t="shared" si="75"/>
      </c>
      <c r="AK117" s="255">
        <f t="shared" si="55"/>
      </c>
      <c r="AL117" s="255">
        <f t="shared" si="56"/>
      </c>
      <c r="AM117" s="120">
        <f ca="1" t="shared" si="46"/>
        <v>0</v>
      </c>
      <c r="AN117" s="120" t="e">
        <f t="shared" si="57"/>
        <v>#N/A</v>
      </c>
      <c r="AO117" s="120">
        <f>ROWS($AO$4:AO117)-1</f>
        <v>113</v>
      </c>
      <c r="AP117" s="255" t="e">
        <f aca="true" t="shared" si="82" ref="AP117:AP150">AN117-AO117</f>
        <v>#N/A</v>
      </c>
      <c r="AQ117" s="120" t="e">
        <f t="shared" si="59"/>
        <v>#N/A</v>
      </c>
      <c r="AR117" s="120" t="e">
        <f t="shared" si="81"/>
        <v>#N/A</v>
      </c>
      <c r="AS117" s="121">
        <f t="shared" si="48"/>
        <v>1</v>
      </c>
      <c r="AT117" s="120" t="str">
        <f t="shared" si="49"/>
        <v> </v>
      </c>
      <c r="AU117" s="120" t="str">
        <f t="shared" si="50"/>
        <v> </v>
      </c>
      <c r="AV117" s="120" t="e">
        <f t="shared" si="60"/>
        <v>#N/A</v>
      </c>
      <c r="AW117" s="120" t="e">
        <f t="shared" si="61"/>
        <v>#N/A</v>
      </c>
      <c r="AX117" s="120">
        <f t="shared" si="62"/>
      </c>
      <c r="AY117" s="120" t="e">
        <f t="shared" si="63"/>
        <v>#N/A</v>
      </c>
      <c r="AZ117" s="120" t="e">
        <f>VLOOKUP(AY117,'排出係数表'!$A$4:$C$202,2,FALSE)</f>
        <v>#N/A</v>
      </c>
      <c r="BA117" s="120" t="e">
        <f t="shared" si="64"/>
        <v>#N/A</v>
      </c>
      <c r="BB117" s="120" t="e">
        <f>VLOOKUP(AY117,'排出係数表'!$A$4:$C$202,3,FALSE)</f>
        <v>#N/A</v>
      </c>
      <c r="BC117" s="120" t="e">
        <f t="shared" si="65"/>
        <v>#N/A</v>
      </c>
      <c r="BD117" s="120">
        <f t="shared" si="76"/>
        <v>1</v>
      </c>
      <c r="BE117" s="122">
        <f t="shared" si="66"/>
      </c>
      <c r="BF117" s="123" t="e">
        <f t="shared" si="51"/>
        <v>#VALUE!</v>
      </c>
      <c r="BG117" s="122">
        <f t="shared" si="77"/>
      </c>
      <c r="BH117" s="120" t="e">
        <f t="shared" si="78"/>
        <v>#VALUE!</v>
      </c>
      <c r="BI117" s="120" t="e">
        <f t="shared" si="79"/>
        <v>#VALUE!</v>
      </c>
      <c r="BJ117" s="122" t="e">
        <f>VLOOKUP(AY117,'排出係数表'!$A$4:$D$202,4)</f>
        <v>#N/A</v>
      </c>
      <c r="BK117" s="257">
        <f t="shared" si="80"/>
      </c>
    </row>
    <row r="118" spans="1:63" s="124" customFormat="1" ht="13.5" customHeight="1">
      <c r="A118" s="120"/>
      <c r="B118" s="120"/>
      <c r="C118" s="155"/>
      <c r="D118" s="155"/>
      <c r="E118" s="155"/>
      <c r="F118" s="155"/>
      <c r="G118" s="156"/>
      <c r="H118" s="157"/>
      <c r="I118" s="155"/>
      <c r="J118" s="155"/>
      <c r="K118" s="158"/>
      <c r="L118" s="159"/>
      <c r="M118" s="244"/>
      <c r="N118" s="155"/>
      <c r="O118" s="345">
        <f t="shared" si="67"/>
      </c>
      <c r="P118" s="345">
        <f t="shared" si="52"/>
      </c>
      <c r="Q118" s="508"/>
      <c r="R118" s="346"/>
      <c r="S118" s="347"/>
      <c r="T118" s="348"/>
      <c r="U118" s="347"/>
      <c r="V118" s="348"/>
      <c r="W118" s="347"/>
      <c r="X118" s="348"/>
      <c r="Y118" s="347"/>
      <c r="Z118" s="348"/>
      <c r="AA118" s="340" t="e">
        <f t="shared" si="53"/>
        <v>#N/A</v>
      </c>
      <c r="AB118" s="339">
        <f t="shared" si="68"/>
      </c>
      <c r="AC118" s="339">
        <f t="shared" si="69"/>
      </c>
      <c r="AD118" s="255">
        <f t="shared" si="70"/>
      </c>
      <c r="AE118" s="256">
        <f t="shared" si="71"/>
      </c>
      <c r="AF118" s="256">
        <f t="shared" si="72"/>
      </c>
      <c r="AG118" s="255">
        <f t="shared" si="73"/>
      </c>
      <c r="AH118" s="255">
        <f t="shared" si="54"/>
      </c>
      <c r="AI118" s="255">
        <f t="shared" si="74"/>
      </c>
      <c r="AJ118" s="255">
        <f t="shared" si="75"/>
      </c>
      <c r="AK118" s="255">
        <f t="shared" si="55"/>
      </c>
      <c r="AL118" s="255">
        <f t="shared" si="56"/>
      </c>
      <c r="AM118" s="120">
        <f ca="1" t="shared" si="46"/>
        <v>0</v>
      </c>
      <c r="AN118" s="120" t="e">
        <f t="shared" si="57"/>
        <v>#N/A</v>
      </c>
      <c r="AO118" s="120">
        <f>ROWS($AO$4:AO118)-1</f>
        <v>114</v>
      </c>
      <c r="AP118" s="255" t="e">
        <f t="shared" si="82"/>
        <v>#N/A</v>
      </c>
      <c r="AQ118" s="120" t="e">
        <f t="shared" si="59"/>
        <v>#N/A</v>
      </c>
      <c r="AR118" s="120" t="e">
        <f t="shared" si="81"/>
        <v>#N/A</v>
      </c>
      <c r="AS118" s="121">
        <f t="shared" si="48"/>
        <v>1</v>
      </c>
      <c r="AT118" s="120" t="str">
        <f t="shared" si="49"/>
        <v> </v>
      </c>
      <c r="AU118" s="120" t="str">
        <f t="shared" si="50"/>
        <v> </v>
      </c>
      <c r="AV118" s="120" t="e">
        <f t="shared" si="60"/>
        <v>#N/A</v>
      </c>
      <c r="AW118" s="120" t="e">
        <f t="shared" si="61"/>
        <v>#N/A</v>
      </c>
      <c r="AX118" s="120">
        <f t="shared" si="62"/>
      </c>
      <c r="AY118" s="120" t="e">
        <f t="shared" si="63"/>
        <v>#N/A</v>
      </c>
      <c r="AZ118" s="120" t="e">
        <f>VLOOKUP(AY118,'排出係数表'!$A$4:$C$202,2,FALSE)</f>
        <v>#N/A</v>
      </c>
      <c r="BA118" s="120" t="e">
        <f t="shared" si="64"/>
        <v>#N/A</v>
      </c>
      <c r="BB118" s="120" t="e">
        <f>VLOOKUP(AY118,'排出係数表'!$A$4:$C$202,3,FALSE)</f>
        <v>#N/A</v>
      </c>
      <c r="BC118" s="120" t="e">
        <f t="shared" si="65"/>
        <v>#N/A</v>
      </c>
      <c r="BD118" s="120">
        <f t="shared" si="76"/>
        <v>1</v>
      </c>
      <c r="BE118" s="122">
        <f t="shared" si="66"/>
      </c>
      <c r="BF118" s="123" t="e">
        <f t="shared" si="51"/>
        <v>#VALUE!</v>
      </c>
      <c r="BG118" s="122">
        <f t="shared" si="77"/>
      </c>
      <c r="BH118" s="120" t="e">
        <f t="shared" si="78"/>
        <v>#VALUE!</v>
      </c>
      <c r="BI118" s="120" t="e">
        <f t="shared" si="79"/>
        <v>#VALUE!</v>
      </c>
      <c r="BJ118" s="122" t="e">
        <f>VLOOKUP(AY118,'排出係数表'!$A$4:$D$202,4)</f>
        <v>#N/A</v>
      </c>
      <c r="BK118" s="257">
        <f t="shared" si="80"/>
      </c>
    </row>
    <row r="119" spans="1:63" s="124" customFormat="1" ht="13.5" customHeight="1">
      <c r="A119" s="120"/>
      <c r="B119" s="120"/>
      <c r="C119" s="155"/>
      <c r="D119" s="155"/>
      <c r="E119" s="155"/>
      <c r="F119" s="155"/>
      <c r="G119" s="156"/>
      <c r="H119" s="157"/>
      <c r="I119" s="155"/>
      <c r="J119" s="155"/>
      <c r="K119" s="158"/>
      <c r="L119" s="159"/>
      <c r="M119" s="244"/>
      <c r="N119" s="155"/>
      <c r="O119" s="345">
        <f t="shared" si="67"/>
      </c>
      <c r="P119" s="345">
        <f t="shared" si="52"/>
      </c>
      <c r="Q119" s="508"/>
      <c r="R119" s="346"/>
      <c r="S119" s="347"/>
      <c r="T119" s="348"/>
      <c r="U119" s="347"/>
      <c r="V119" s="348"/>
      <c r="W119" s="347"/>
      <c r="X119" s="348"/>
      <c r="Y119" s="347"/>
      <c r="Z119" s="348"/>
      <c r="AA119" s="340" t="e">
        <f t="shared" si="53"/>
        <v>#N/A</v>
      </c>
      <c r="AB119" s="339">
        <f t="shared" si="68"/>
      </c>
      <c r="AC119" s="339">
        <f t="shared" si="69"/>
      </c>
      <c r="AD119" s="255">
        <f t="shared" si="70"/>
      </c>
      <c r="AE119" s="256">
        <f t="shared" si="71"/>
      </c>
      <c r="AF119" s="256">
        <f t="shared" si="72"/>
      </c>
      <c r="AG119" s="255">
        <f t="shared" si="73"/>
      </c>
      <c r="AH119" s="255">
        <f t="shared" si="54"/>
      </c>
      <c r="AI119" s="255">
        <f t="shared" si="74"/>
      </c>
      <c r="AJ119" s="255">
        <f t="shared" si="75"/>
      </c>
      <c r="AK119" s="255">
        <f t="shared" si="55"/>
      </c>
      <c r="AL119" s="255">
        <f t="shared" si="56"/>
      </c>
      <c r="AM119" s="120">
        <f ca="1" t="shared" si="46"/>
        <v>0</v>
      </c>
      <c r="AN119" s="120" t="e">
        <f t="shared" si="57"/>
        <v>#N/A</v>
      </c>
      <c r="AO119" s="120">
        <f>ROWS($AO$4:AO119)-1</f>
        <v>115</v>
      </c>
      <c r="AP119" s="255" t="e">
        <f t="shared" si="82"/>
        <v>#N/A</v>
      </c>
      <c r="AQ119" s="120" t="e">
        <f t="shared" si="59"/>
        <v>#N/A</v>
      </c>
      <c r="AR119" s="120" t="e">
        <f t="shared" si="81"/>
        <v>#N/A</v>
      </c>
      <c r="AS119" s="121">
        <f t="shared" si="48"/>
        <v>1</v>
      </c>
      <c r="AT119" s="120" t="str">
        <f t="shared" si="49"/>
        <v> </v>
      </c>
      <c r="AU119" s="120" t="str">
        <f t="shared" si="50"/>
        <v> </v>
      </c>
      <c r="AV119" s="120" t="e">
        <f t="shared" si="60"/>
        <v>#N/A</v>
      </c>
      <c r="AW119" s="120" t="e">
        <f t="shared" si="61"/>
        <v>#N/A</v>
      </c>
      <c r="AX119" s="120">
        <f t="shared" si="62"/>
      </c>
      <c r="AY119" s="120" t="e">
        <f t="shared" si="63"/>
        <v>#N/A</v>
      </c>
      <c r="AZ119" s="120" t="e">
        <f>VLOOKUP(AY119,'排出係数表'!$A$4:$C$202,2,FALSE)</f>
        <v>#N/A</v>
      </c>
      <c r="BA119" s="120" t="e">
        <f t="shared" si="64"/>
        <v>#N/A</v>
      </c>
      <c r="BB119" s="120" t="e">
        <f>VLOOKUP(AY119,'排出係数表'!$A$4:$C$202,3,FALSE)</f>
        <v>#N/A</v>
      </c>
      <c r="BC119" s="120" t="e">
        <f t="shared" si="65"/>
        <v>#N/A</v>
      </c>
      <c r="BD119" s="120">
        <f t="shared" si="76"/>
        <v>1</v>
      </c>
      <c r="BE119" s="122">
        <f t="shared" si="66"/>
      </c>
      <c r="BF119" s="123" t="e">
        <f t="shared" si="51"/>
        <v>#VALUE!</v>
      </c>
      <c r="BG119" s="122">
        <f t="shared" si="77"/>
      </c>
      <c r="BH119" s="120" t="e">
        <f t="shared" si="78"/>
        <v>#VALUE!</v>
      </c>
      <c r="BI119" s="120" t="e">
        <f t="shared" si="79"/>
        <v>#VALUE!</v>
      </c>
      <c r="BJ119" s="122" t="e">
        <f>VLOOKUP(AY119,'排出係数表'!$A$4:$D$202,4)</f>
        <v>#N/A</v>
      </c>
      <c r="BK119" s="257">
        <f t="shared" si="80"/>
      </c>
    </row>
    <row r="120" spans="1:63" s="124" customFormat="1" ht="13.5" customHeight="1">
      <c r="A120" s="120"/>
      <c r="B120" s="120"/>
      <c r="C120" s="155"/>
      <c r="D120" s="155"/>
      <c r="E120" s="155"/>
      <c r="F120" s="155"/>
      <c r="G120" s="156"/>
      <c r="H120" s="157"/>
      <c r="I120" s="155"/>
      <c r="J120" s="155"/>
      <c r="K120" s="158"/>
      <c r="L120" s="159"/>
      <c r="M120" s="244"/>
      <c r="N120" s="155"/>
      <c r="O120" s="345">
        <f t="shared" si="67"/>
      </c>
      <c r="P120" s="345">
        <f t="shared" si="52"/>
      </c>
      <c r="Q120" s="508"/>
      <c r="R120" s="346"/>
      <c r="S120" s="347"/>
      <c r="T120" s="348"/>
      <c r="U120" s="347"/>
      <c r="V120" s="348"/>
      <c r="W120" s="347"/>
      <c r="X120" s="348"/>
      <c r="Y120" s="347"/>
      <c r="Z120" s="348"/>
      <c r="AA120" s="340" t="e">
        <f t="shared" si="53"/>
        <v>#N/A</v>
      </c>
      <c r="AB120" s="339">
        <f t="shared" si="68"/>
      </c>
      <c r="AC120" s="339">
        <f t="shared" si="69"/>
      </c>
      <c r="AD120" s="255">
        <f t="shared" si="70"/>
      </c>
      <c r="AE120" s="256">
        <f t="shared" si="71"/>
      </c>
      <c r="AF120" s="256">
        <f t="shared" si="72"/>
      </c>
      <c r="AG120" s="255">
        <f t="shared" si="73"/>
      </c>
      <c r="AH120" s="255">
        <f t="shared" si="54"/>
      </c>
      <c r="AI120" s="255">
        <f t="shared" si="74"/>
      </c>
      <c r="AJ120" s="255">
        <f t="shared" si="75"/>
      </c>
      <c r="AK120" s="255">
        <f t="shared" si="55"/>
      </c>
      <c r="AL120" s="255">
        <f t="shared" si="56"/>
      </c>
      <c r="AM120" s="120">
        <f ca="1" t="shared" si="46"/>
        <v>0</v>
      </c>
      <c r="AN120" s="120" t="e">
        <f t="shared" si="57"/>
        <v>#N/A</v>
      </c>
      <c r="AO120" s="120">
        <f>ROWS($AO$4:AO120)-1</f>
        <v>116</v>
      </c>
      <c r="AP120" s="255" t="e">
        <f t="shared" si="82"/>
        <v>#N/A</v>
      </c>
      <c r="AQ120" s="120" t="e">
        <f t="shared" si="59"/>
        <v>#N/A</v>
      </c>
      <c r="AR120" s="120" t="e">
        <f t="shared" si="81"/>
        <v>#N/A</v>
      </c>
      <c r="AS120" s="121">
        <f t="shared" si="48"/>
        <v>1</v>
      </c>
      <c r="AT120" s="120" t="str">
        <f t="shared" si="49"/>
        <v> </v>
      </c>
      <c r="AU120" s="120" t="str">
        <f t="shared" si="50"/>
        <v> </v>
      </c>
      <c r="AV120" s="120" t="e">
        <f t="shared" si="60"/>
        <v>#N/A</v>
      </c>
      <c r="AW120" s="120" t="e">
        <f t="shared" si="61"/>
        <v>#N/A</v>
      </c>
      <c r="AX120" s="120">
        <f t="shared" si="62"/>
      </c>
      <c r="AY120" s="120" t="e">
        <f t="shared" si="63"/>
        <v>#N/A</v>
      </c>
      <c r="AZ120" s="120" t="e">
        <f>VLOOKUP(AY120,'排出係数表'!$A$4:$C$202,2,FALSE)</f>
        <v>#N/A</v>
      </c>
      <c r="BA120" s="120" t="e">
        <f t="shared" si="64"/>
        <v>#N/A</v>
      </c>
      <c r="BB120" s="120" t="e">
        <f>VLOOKUP(AY120,'排出係数表'!$A$4:$C$202,3,FALSE)</f>
        <v>#N/A</v>
      </c>
      <c r="BC120" s="120" t="e">
        <f t="shared" si="65"/>
        <v>#N/A</v>
      </c>
      <c r="BD120" s="120">
        <f t="shared" si="76"/>
        <v>1</v>
      </c>
      <c r="BE120" s="122">
        <f t="shared" si="66"/>
      </c>
      <c r="BF120" s="123" t="e">
        <f t="shared" si="51"/>
        <v>#VALUE!</v>
      </c>
      <c r="BG120" s="122">
        <f t="shared" si="77"/>
      </c>
      <c r="BH120" s="120" t="e">
        <f t="shared" si="78"/>
        <v>#VALUE!</v>
      </c>
      <c r="BI120" s="120" t="e">
        <f t="shared" si="79"/>
        <v>#VALUE!</v>
      </c>
      <c r="BJ120" s="122" t="e">
        <f>VLOOKUP(AY120,'排出係数表'!$A$4:$D$202,4)</f>
        <v>#N/A</v>
      </c>
      <c r="BK120" s="257">
        <f t="shared" si="80"/>
      </c>
    </row>
    <row r="121" spans="1:63" s="124" customFormat="1" ht="13.5" customHeight="1">
      <c r="A121" s="120"/>
      <c r="B121" s="120"/>
      <c r="C121" s="155"/>
      <c r="D121" s="155"/>
      <c r="E121" s="155"/>
      <c r="F121" s="155"/>
      <c r="G121" s="156"/>
      <c r="H121" s="157"/>
      <c r="I121" s="155"/>
      <c r="J121" s="155"/>
      <c r="K121" s="158"/>
      <c r="L121" s="159"/>
      <c r="M121" s="244"/>
      <c r="N121" s="155"/>
      <c r="O121" s="345">
        <f t="shared" si="67"/>
      </c>
      <c r="P121" s="345">
        <f t="shared" si="52"/>
      </c>
      <c r="Q121" s="508"/>
      <c r="R121" s="346"/>
      <c r="S121" s="347"/>
      <c r="T121" s="348"/>
      <c r="U121" s="347"/>
      <c r="V121" s="348"/>
      <c r="W121" s="347"/>
      <c r="X121" s="348"/>
      <c r="Y121" s="347"/>
      <c r="Z121" s="348"/>
      <c r="AA121" s="340" t="e">
        <f t="shared" si="53"/>
        <v>#N/A</v>
      </c>
      <c r="AB121" s="339">
        <f t="shared" si="68"/>
      </c>
      <c r="AC121" s="339">
        <f t="shared" si="69"/>
      </c>
      <c r="AD121" s="255">
        <f t="shared" si="70"/>
      </c>
      <c r="AE121" s="256">
        <f t="shared" si="71"/>
      </c>
      <c r="AF121" s="256">
        <f t="shared" si="72"/>
      </c>
      <c r="AG121" s="255">
        <f t="shared" si="73"/>
      </c>
      <c r="AH121" s="255">
        <f t="shared" si="54"/>
      </c>
      <c r="AI121" s="255">
        <f t="shared" si="74"/>
      </c>
      <c r="AJ121" s="255">
        <f t="shared" si="75"/>
      </c>
      <c r="AK121" s="255">
        <f t="shared" si="55"/>
      </c>
      <c r="AL121" s="255">
        <f t="shared" si="56"/>
      </c>
      <c r="AM121" s="120">
        <f ca="1" t="shared" si="46"/>
        <v>0</v>
      </c>
      <c r="AN121" s="120" t="e">
        <f t="shared" si="57"/>
        <v>#N/A</v>
      </c>
      <c r="AO121" s="120">
        <f>ROWS($AO$4:AO121)-1</f>
        <v>117</v>
      </c>
      <c r="AP121" s="255" t="e">
        <f t="shared" si="82"/>
        <v>#N/A</v>
      </c>
      <c r="AQ121" s="120" t="e">
        <f t="shared" si="59"/>
        <v>#N/A</v>
      </c>
      <c r="AR121" s="120" t="e">
        <f t="shared" si="81"/>
        <v>#N/A</v>
      </c>
      <c r="AS121" s="121">
        <f t="shared" si="48"/>
        <v>1</v>
      </c>
      <c r="AT121" s="120" t="str">
        <f t="shared" si="49"/>
        <v> </v>
      </c>
      <c r="AU121" s="120" t="str">
        <f t="shared" si="50"/>
        <v> </v>
      </c>
      <c r="AV121" s="120" t="e">
        <f t="shared" si="60"/>
        <v>#N/A</v>
      </c>
      <c r="AW121" s="120" t="e">
        <f t="shared" si="61"/>
        <v>#N/A</v>
      </c>
      <c r="AX121" s="120">
        <f t="shared" si="62"/>
      </c>
      <c r="AY121" s="120" t="e">
        <f t="shared" si="63"/>
        <v>#N/A</v>
      </c>
      <c r="AZ121" s="120" t="e">
        <f>VLOOKUP(AY121,'排出係数表'!$A$4:$C$202,2,FALSE)</f>
        <v>#N/A</v>
      </c>
      <c r="BA121" s="120" t="e">
        <f t="shared" si="64"/>
        <v>#N/A</v>
      </c>
      <c r="BB121" s="120" t="e">
        <f>VLOOKUP(AY121,'排出係数表'!$A$4:$C$202,3,FALSE)</f>
        <v>#N/A</v>
      </c>
      <c r="BC121" s="120" t="e">
        <f t="shared" si="65"/>
        <v>#N/A</v>
      </c>
      <c r="BD121" s="120">
        <f t="shared" si="76"/>
        <v>1</v>
      </c>
      <c r="BE121" s="122">
        <f t="shared" si="66"/>
      </c>
      <c r="BF121" s="123" t="e">
        <f t="shared" si="51"/>
        <v>#VALUE!</v>
      </c>
      <c r="BG121" s="122">
        <f t="shared" si="77"/>
      </c>
      <c r="BH121" s="120" t="e">
        <f t="shared" si="78"/>
        <v>#VALUE!</v>
      </c>
      <c r="BI121" s="120" t="e">
        <f t="shared" si="79"/>
        <v>#VALUE!</v>
      </c>
      <c r="BJ121" s="122" t="e">
        <f>VLOOKUP(AY121,'排出係数表'!$A$4:$D$202,4)</f>
        <v>#N/A</v>
      </c>
      <c r="BK121" s="257">
        <f t="shared" si="80"/>
      </c>
    </row>
    <row r="122" spans="1:63" s="124" customFormat="1" ht="13.5" customHeight="1">
      <c r="A122" s="120"/>
      <c r="B122" s="120"/>
      <c r="C122" s="155"/>
      <c r="D122" s="155"/>
      <c r="E122" s="155"/>
      <c r="F122" s="155"/>
      <c r="G122" s="156"/>
      <c r="H122" s="157"/>
      <c r="I122" s="155"/>
      <c r="J122" s="155"/>
      <c r="K122" s="158"/>
      <c r="L122" s="159"/>
      <c r="M122" s="244"/>
      <c r="N122" s="155"/>
      <c r="O122" s="345">
        <f t="shared" si="67"/>
      </c>
      <c r="P122" s="345">
        <f t="shared" si="52"/>
      </c>
      <c r="Q122" s="508"/>
      <c r="R122" s="346"/>
      <c r="S122" s="347"/>
      <c r="T122" s="348"/>
      <c r="U122" s="347"/>
      <c r="V122" s="348"/>
      <c r="W122" s="347"/>
      <c r="X122" s="348"/>
      <c r="Y122" s="347"/>
      <c r="Z122" s="348"/>
      <c r="AA122" s="340" t="e">
        <f t="shared" si="53"/>
        <v>#N/A</v>
      </c>
      <c r="AB122" s="339">
        <f t="shared" si="68"/>
      </c>
      <c r="AC122" s="339">
        <f t="shared" si="69"/>
      </c>
      <c r="AD122" s="255">
        <f t="shared" si="70"/>
      </c>
      <c r="AE122" s="256">
        <f t="shared" si="71"/>
      </c>
      <c r="AF122" s="256">
        <f t="shared" si="72"/>
      </c>
      <c r="AG122" s="255">
        <f t="shared" si="73"/>
      </c>
      <c r="AH122" s="255">
        <f t="shared" si="54"/>
      </c>
      <c r="AI122" s="255">
        <f t="shared" si="74"/>
      </c>
      <c r="AJ122" s="255">
        <f t="shared" si="75"/>
      </c>
      <c r="AK122" s="255">
        <f t="shared" si="55"/>
      </c>
      <c r="AL122" s="255">
        <f t="shared" si="56"/>
      </c>
      <c r="AM122" s="120">
        <f ca="1" t="shared" si="46"/>
        <v>0</v>
      </c>
      <c r="AN122" s="120" t="e">
        <f t="shared" si="57"/>
        <v>#N/A</v>
      </c>
      <c r="AO122" s="120">
        <f>ROWS($AO$4:AO122)-1</f>
        <v>118</v>
      </c>
      <c r="AP122" s="255" t="e">
        <f t="shared" si="82"/>
        <v>#N/A</v>
      </c>
      <c r="AQ122" s="120" t="e">
        <f t="shared" si="59"/>
        <v>#N/A</v>
      </c>
      <c r="AR122" s="120" t="e">
        <f t="shared" si="81"/>
        <v>#N/A</v>
      </c>
      <c r="AS122" s="121">
        <f t="shared" si="48"/>
        <v>1</v>
      </c>
      <c r="AT122" s="120" t="str">
        <f t="shared" si="49"/>
        <v> </v>
      </c>
      <c r="AU122" s="120" t="str">
        <f t="shared" si="50"/>
        <v> </v>
      </c>
      <c r="AV122" s="120" t="e">
        <f t="shared" si="60"/>
        <v>#N/A</v>
      </c>
      <c r="AW122" s="120" t="e">
        <f t="shared" si="61"/>
        <v>#N/A</v>
      </c>
      <c r="AX122" s="120">
        <f t="shared" si="62"/>
      </c>
      <c r="AY122" s="120" t="e">
        <f t="shared" si="63"/>
        <v>#N/A</v>
      </c>
      <c r="AZ122" s="120" t="e">
        <f>VLOOKUP(AY122,'排出係数表'!$A$4:$C$202,2,FALSE)</f>
        <v>#N/A</v>
      </c>
      <c r="BA122" s="120" t="e">
        <f t="shared" si="64"/>
        <v>#N/A</v>
      </c>
      <c r="BB122" s="120" t="e">
        <f>VLOOKUP(AY122,'排出係数表'!$A$4:$C$202,3,FALSE)</f>
        <v>#N/A</v>
      </c>
      <c r="BC122" s="120" t="e">
        <f t="shared" si="65"/>
        <v>#N/A</v>
      </c>
      <c r="BD122" s="120">
        <f t="shared" si="76"/>
        <v>1</v>
      </c>
      <c r="BE122" s="122">
        <f t="shared" si="66"/>
      </c>
      <c r="BF122" s="123" t="e">
        <f t="shared" si="51"/>
        <v>#VALUE!</v>
      </c>
      <c r="BG122" s="122">
        <f t="shared" si="77"/>
      </c>
      <c r="BH122" s="120" t="e">
        <f t="shared" si="78"/>
        <v>#VALUE!</v>
      </c>
      <c r="BI122" s="120" t="e">
        <f t="shared" si="79"/>
        <v>#VALUE!</v>
      </c>
      <c r="BJ122" s="122" t="e">
        <f>VLOOKUP(AY122,'排出係数表'!$A$4:$D$202,4)</f>
        <v>#N/A</v>
      </c>
      <c r="BK122" s="257">
        <f t="shared" si="80"/>
      </c>
    </row>
    <row r="123" spans="1:63" s="124" customFormat="1" ht="13.5" customHeight="1">
      <c r="A123" s="120"/>
      <c r="B123" s="120"/>
      <c r="C123" s="155"/>
      <c r="D123" s="155"/>
      <c r="E123" s="155"/>
      <c r="F123" s="155"/>
      <c r="G123" s="156"/>
      <c r="H123" s="157"/>
      <c r="I123" s="155"/>
      <c r="J123" s="155"/>
      <c r="K123" s="158"/>
      <c r="L123" s="159"/>
      <c r="M123" s="244"/>
      <c r="N123" s="155"/>
      <c r="O123" s="345">
        <f t="shared" si="67"/>
      </c>
      <c r="P123" s="345">
        <f t="shared" si="52"/>
      </c>
      <c r="Q123" s="508"/>
      <c r="R123" s="346"/>
      <c r="S123" s="347"/>
      <c r="T123" s="348"/>
      <c r="U123" s="347"/>
      <c r="V123" s="348"/>
      <c r="W123" s="347"/>
      <c r="X123" s="348"/>
      <c r="Y123" s="347"/>
      <c r="Z123" s="348"/>
      <c r="AA123" s="340" t="e">
        <f t="shared" si="53"/>
        <v>#N/A</v>
      </c>
      <c r="AB123" s="339">
        <f t="shared" si="68"/>
      </c>
      <c r="AC123" s="339">
        <f t="shared" si="69"/>
      </c>
      <c r="AD123" s="255">
        <f t="shared" si="70"/>
      </c>
      <c r="AE123" s="256">
        <f t="shared" si="71"/>
      </c>
      <c r="AF123" s="256">
        <f t="shared" si="72"/>
      </c>
      <c r="AG123" s="255">
        <f t="shared" si="73"/>
      </c>
      <c r="AH123" s="255">
        <f t="shared" si="54"/>
      </c>
      <c r="AI123" s="255">
        <f t="shared" si="74"/>
      </c>
      <c r="AJ123" s="255">
        <f t="shared" si="75"/>
      </c>
      <c r="AK123" s="255">
        <f t="shared" si="55"/>
      </c>
      <c r="AL123" s="255">
        <f t="shared" si="56"/>
      </c>
      <c r="AM123" s="120">
        <f ca="1" t="shared" si="46"/>
        <v>0</v>
      </c>
      <c r="AN123" s="120" t="e">
        <f t="shared" si="57"/>
        <v>#N/A</v>
      </c>
      <c r="AO123" s="120">
        <f>ROWS($AO$4:AO123)-1</f>
        <v>119</v>
      </c>
      <c r="AP123" s="255" t="e">
        <f t="shared" si="82"/>
        <v>#N/A</v>
      </c>
      <c r="AQ123" s="120" t="e">
        <f t="shared" si="59"/>
        <v>#N/A</v>
      </c>
      <c r="AR123" s="120" t="e">
        <f t="shared" si="81"/>
        <v>#N/A</v>
      </c>
      <c r="AS123" s="121">
        <f t="shared" si="48"/>
        <v>1</v>
      </c>
      <c r="AT123" s="120" t="str">
        <f t="shared" si="49"/>
        <v> </v>
      </c>
      <c r="AU123" s="120" t="str">
        <f t="shared" si="50"/>
        <v> </v>
      </c>
      <c r="AV123" s="120" t="e">
        <f t="shared" si="60"/>
        <v>#N/A</v>
      </c>
      <c r="AW123" s="120" t="e">
        <f t="shared" si="61"/>
        <v>#N/A</v>
      </c>
      <c r="AX123" s="120">
        <f t="shared" si="62"/>
      </c>
      <c r="AY123" s="120" t="e">
        <f t="shared" si="63"/>
        <v>#N/A</v>
      </c>
      <c r="AZ123" s="120" t="e">
        <f>VLOOKUP(AY123,'排出係数表'!$A$4:$C$202,2,FALSE)</f>
        <v>#N/A</v>
      </c>
      <c r="BA123" s="120" t="e">
        <f t="shared" si="64"/>
        <v>#N/A</v>
      </c>
      <c r="BB123" s="120" t="e">
        <f>VLOOKUP(AY123,'排出係数表'!$A$4:$C$202,3,FALSE)</f>
        <v>#N/A</v>
      </c>
      <c r="BC123" s="120" t="e">
        <f t="shared" si="65"/>
        <v>#N/A</v>
      </c>
      <c r="BD123" s="120">
        <f t="shared" si="76"/>
        <v>1</v>
      </c>
      <c r="BE123" s="122">
        <f t="shared" si="66"/>
      </c>
      <c r="BF123" s="123" t="e">
        <f t="shared" si="51"/>
        <v>#VALUE!</v>
      </c>
      <c r="BG123" s="122">
        <f t="shared" si="77"/>
      </c>
      <c r="BH123" s="120" t="e">
        <f t="shared" si="78"/>
        <v>#VALUE!</v>
      </c>
      <c r="BI123" s="120" t="e">
        <f t="shared" si="79"/>
        <v>#VALUE!</v>
      </c>
      <c r="BJ123" s="122" t="e">
        <f>VLOOKUP(AY123,'排出係数表'!$A$4:$D$202,4)</f>
        <v>#N/A</v>
      </c>
      <c r="BK123" s="257">
        <f t="shared" si="80"/>
      </c>
    </row>
    <row r="124" spans="1:63" s="124" customFormat="1" ht="13.5" customHeight="1">
      <c r="A124" s="120"/>
      <c r="B124" s="120"/>
      <c r="C124" s="155"/>
      <c r="D124" s="155"/>
      <c r="E124" s="155"/>
      <c r="F124" s="155"/>
      <c r="G124" s="156"/>
      <c r="H124" s="157"/>
      <c r="I124" s="155"/>
      <c r="J124" s="155"/>
      <c r="K124" s="158"/>
      <c r="L124" s="159"/>
      <c r="M124" s="244"/>
      <c r="N124" s="155"/>
      <c r="O124" s="345">
        <f t="shared" si="67"/>
      </c>
      <c r="P124" s="345">
        <f t="shared" si="52"/>
      </c>
      <c r="Q124" s="508"/>
      <c r="R124" s="346"/>
      <c r="S124" s="347"/>
      <c r="T124" s="348"/>
      <c r="U124" s="347"/>
      <c r="V124" s="348"/>
      <c r="W124" s="347"/>
      <c r="X124" s="348"/>
      <c r="Y124" s="347"/>
      <c r="Z124" s="348"/>
      <c r="AA124" s="340" t="e">
        <f t="shared" si="53"/>
        <v>#N/A</v>
      </c>
      <c r="AB124" s="339">
        <f t="shared" si="68"/>
      </c>
      <c r="AC124" s="339">
        <f t="shared" si="69"/>
      </c>
      <c r="AD124" s="255">
        <f t="shared" si="70"/>
      </c>
      <c r="AE124" s="256">
        <f t="shared" si="71"/>
      </c>
      <c r="AF124" s="256">
        <f t="shared" si="72"/>
      </c>
      <c r="AG124" s="255">
        <f t="shared" si="73"/>
      </c>
      <c r="AH124" s="255">
        <f t="shared" si="54"/>
      </c>
      <c r="AI124" s="255">
        <f t="shared" si="74"/>
      </c>
      <c r="AJ124" s="255">
        <f t="shared" si="75"/>
      </c>
      <c r="AK124" s="255">
        <f t="shared" si="55"/>
      </c>
      <c r="AL124" s="255">
        <f t="shared" si="56"/>
      </c>
      <c r="AM124" s="120">
        <f ca="1" t="shared" si="46"/>
        <v>0</v>
      </c>
      <c r="AN124" s="120" t="e">
        <f t="shared" si="57"/>
        <v>#N/A</v>
      </c>
      <c r="AO124" s="120">
        <f>ROWS($AO$4:AO124)-1</f>
        <v>120</v>
      </c>
      <c r="AP124" s="255" t="e">
        <f t="shared" si="82"/>
        <v>#N/A</v>
      </c>
      <c r="AQ124" s="120" t="e">
        <f t="shared" si="59"/>
        <v>#N/A</v>
      </c>
      <c r="AR124" s="120" t="e">
        <f t="shared" si="81"/>
        <v>#N/A</v>
      </c>
      <c r="AS124" s="121">
        <f t="shared" si="48"/>
        <v>1</v>
      </c>
      <c r="AT124" s="120" t="str">
        <f t="shared" si="49"/>
        <v> </v>
      </c>
      <c r="AU124" s="120" t="str">
        <f t="shared" si="50"/>
        <v> </v>
      </c>
      <c r="AV124" s="120" t="e">
        <f t="shared" si="60"/>
        <v>#N/A</v>
      </c>
      <c r="AW124" s="120" t="e">
        <f t="shared" si="61"/>
        <v>#N/A</v>
      </c>
      <c r="AX124" s="120">
        <f t="shared" si="62"/>
      </c>
      <c r="AY124" s="120" t="e">
        <f t="shared" si="63"/>
        <v>#N/A</v>
      </c>
      <c r="AZ124" s="120" t="e">
        <f>VLOOKUP(AY124,'排出係数表'!$A$4:$C$202,2,FALSE)</f>
        <v>#N/A</v>
      </c>
      <c r="BA124" s="120" t="e">
        <f t="shared" si="64"/>
        <v>#N/A</v>
      </c>
      <c r="BB124" s="120" t="e">
        <f>VLOOKUP(AY124,'排出係数表'!$A$4:$C$202,3,FALSE)</f>
        <v>#N/A</v>
      </c>
      <c r="BC124" s="120" t="e">
        <f t="shared" si="65"/>
        <v>#N/A</v>
      </c>
      <c r="BD124" s="120">
        <f t="shared" si="76"/>
        <v>1</v>
      </c>
      <c r="BE124" s="122">
        <f t="shared" si="66"/>
      </c>
      <c r="BF124" s="123" t="e">
        <f t="shared" si="51"/>
        <v>#VALUE!</v>
      </c>
      <c r="BG124" s="122">
        <f t="shared" si="77"/>
      </c>
      <c r="BH124" s="120" t="e">
        <f t="shared" si="78"/>
        <v>#VALUE!</v>
      </c>
      <c r="BI124" s="120" t="e">
        <f t="shared" si="79"/>
        <v>#VALUE!</v>
      </c>
      <c r="BJ124" s="122" t="e">
        <f>VLOOKUP(AY124,'排出係数表'!$A$4:$D$202,4)</f>
        <v>#N/A</v>
      </c>
      <c r="BK124" s="257">
        <f t="shared" si="80"/>
      </c>
    </row>
    <row r="125" spans="1:63" s="124" customFormat="1" ht="13.5" customHeight="1">
      <c r="A125" s="120"/>
      <c r="B125" s="120"/>
      <c r="C125" s="155"/>
      <c r="D125" s="155"/>
      <c r="E125" s="155"/>
      <c r="F125" s="155"/>
      <c r="G125" s="156"/>
      <c r="H125" s="157"/>
      <c r="I125" s="155"/>
      <c r="J125" s="155"/>
      <c r="K125" s="158"/>
      <c r="L125" s="159"/>
      <c r="M125" s="244"/>
      <c r="N125" s="155"/>
      <c r="O125" s="345">
        <f t="shared" si="67"/>
      </c>
      <c r="P125" s="345">
        <f t="shared" si="52"/>
      </c>
      <c r="Q125" s="508"/>
      <c r="R125" s="346"/>
      <c r="S125" s="347"/>
      <c r="T125" s="348"/>
      <c r="U125" s="347"/>
      <c r="V125" s="348"/>
      <c r="W125" s="347"/>
      <c r="X125" s="348"/>
      <c r="Y125" s="347"/>
      <c r="Z125" s="348"/>
      <c r="AA125" s="340" t="e">
        <f t="shared" si="53"/>
        <v>#N/A</v>
      </c>
      <c r="AB125" s="339">
        <f t="shared" si="68"/>
      </c>
      <c r="AC125" s="339">
        <f t="shared" si="69"/>
      </c>
      <c r="AD125" s="255">
        <f t="shared" si="70"/>
      </c>
      <c r="AE125" s="256">
        <f t="shared" si="71"/>
      </c>
      <c r="AF125" s="256">
        <f t="shared" si="72"/>
      </c>
      <c r="AG125" s="255">
        <f t="shared" si="73"/>
      </c>
      <c r="AH125" s="255">
        <f t="shared" si="54"/>
      </c>
      <c r="AI125" s="255">
        <f t="shared" si="74"/>
      </c>
      <c r="AJ125" s="255">
        <f t="shared" si="75"/>
      </c>
      <c r="AK125" s="255">
        <f t="shared" si="55"/>
      </c>
      <c r="AL125" s="255">
        <f t="shared" si="56"/>
      </c>
      <c r="AM125" s="120">
        <f ca="1" t="shared" si="46"/>
        <v>0</v>
      </c>
      <c r="AN125" s="120" t="e">
        <f t="shared" si="57"/>
        <v>#N/A</v>
      </c>
      <c r="AO125" s="120">
        <f>ROWS($AO$4:AO125)-1</f>
        <v>121</v>
      </c>
      <c r="AP125" s="255" t="e">
        <f t="shared" si="82"/>
        <v>#N/A</v>
      </c>
      <c r="AQ125" s="120" t="e">
        <f t="shared" si="59"/>
        <v>#N/A</v>
      </c>
      <c r="AR125" s="120" t="e">
        <f t="shared" si="81"/>
        <v>#N/A</v>
      </c>
      <c r="AS125" s="121">
        <f t="shared" si="48"/>
        <v>1</v>
      </c>
      <c r="AT125" s="120" t="str">
        <f t="shared" si="49"/>
        <v> </v>
      </c>
      <c r="AU125" s="120" t="str">
        <f t="shared" si="50"/>
        <v> </v>
      </c>
      <c r="AV125" s="120" t="e">
        <f t="shared" si="60"/>
        <v>#N/A</v>
      </c>
      <c r="AW125" s="120" t="e">
        <f t="shared" si="61"/>
        <v>#N/A</v>
      </c>
      <c r="AX125" s="120">
        <f t="shared" si="62"/>
      </c>
      <c r="AY125" s="120" t="e">
        <f t="shared" si="63"/>
        <v>#N/A</v>
      </c>
      <c r="AZ125" s="120" t="e">
        <f>VLOOKUP(AY125,'排出係数表'!$A$4:$C$202,2,FALSE)</f>
        <v>#N/A</v>
      </c>
      <c r="BA125" s="120" t="e">
        <f t="shared" si="64"/>
        <v>#N/A</v>
      </c>
      <c r="BB125" s="120" t="e">
        <f>VLOOKUP(AY125,'排出係数表'!$A$4:$C$202,3,FALSE)</f>
        <v>#N/A</v>
      </c>
      <c r="BC125" s="120" t="e">
        <f t="shared" si="65"/>
        <v>#N/A</v>
      </c>
      <c r="BD125" s="120">
        <f t="shared" si="76"/>
        <v>1</v>
      </c>
      <c r="BE125" s="122">
        <f t="shared" si="66"/>
      </c>
      <c r="BF125" s="123" t="e">
        <f t="shared" si="51"/>
        <v>#VALUE!</v>
      </c>
      <c r="BG125" s="122">
        <f t="shared" si="77"/>
      </c>
      <c r="BH125" s="120" t="e">
        <f t="shared" si="78"/>
        <v>#VALUE!</v>
      </c>
      <c r="BI125" s="120" t="e">
        <f t="shared" si="79"/>
        <v>#VALUE!</v>
      </c>
      <c r="BJ125" s="122" t="e">
        <f>VLOOKUP(AY125,'排出係数表'!$A$4:$D$202,4)</f>
        <v>#N/A</v>
      </c>
      <c r="BK125" s="257">
        <f t="shared" si="80"/>
      </c>
    </row>
    <row r="126" spans="1:63" s="124" customFormat="1" ht="13.5" customHeight="1">
      <c r="A126" s="120"/>
      <c r="B126" s="120"/>
      <c r="C126" s="155"/>
      <c r="D126" s="155"/>
      <c r="E126" s="155"/>
      <c r="F126" s="155"/>
      <c r="G126" s="156"/>
      <c r="H126" s="157"/>
      <c r="I126" s="155"/>
      <c r="J126" s="155"/>
      <c r="K126" s="158"/>
      <c r="L126" s="159"/>
      <c r="M126" s="244"/>
      <c r="N126" s="155"/>
      <c r="O126" s="345">
        <f t="shared" si="67"/>
      </c>
      <c r="P126" s="345">
        <f t="shared" si="52"/>
      </c>
      <c r="Q126" s="508"/>
      <c r="R126" s="346"/>
      <c r="S126" s="347"/>
      <c r="T126" s="348"/>
      <c r="U126" s="347"/>
      <c r="V126" s="348"/>
      <c r="W126" s="347"/>
      <c r="X126" s="348"/>
      <c r="Y126" s="347"/>
      <c r="Z126" s="348"/>
      <c r="AA126" s="340" t="e">
        <f t="shared" si="53"/>
        <v>#N/A</v>
      </c>
      <c r="AB126" s="339">
        <f t="shared" si="68"/>
      </c>
      <c r="AC126" s="339">
        <f t="shared" si="69"/>
      </c>
      <c r="AD126" s="255">
        <f t="shared" si="70"/>
      </c>
      <c r="AE126" s="256">
        <f t="shared" si="71"/>
      </c>
      <c r="AF126" s="256">
        <f t="shared" si="72"/>
      </c>
      <c r="AG126" s="255">
        <f t="shared" si="73"/>
      </c>
      <c r="AH126" s="255">
        <f t="shared" si="54"/>
      </c>
      <c r="AI126" s="255">
        <f t="shared" si="74"/>
      </c>
      <c r="AJ126" s="255">
        <f t="shared" si="75"/>
      </c>
      <c r="AK126" s="255">
        <f t="shared" si="55"/>
      </c>
      <c r="AL126" s="255">
        <f t="shared" si="56"/>
      </c>
      <c r="AM126" s="120">
        <f ca="1" t="shared" si="46"/>
        <v>0</v>
      </c>
      <c r="AN126" s="120" t="e">
        <f t="shared" si="57"/>
        <v>#N/A</v>
      </c>
      <c r="AO126" s="120">
        <f>ROWS($AO$4:AO126)-1</f>
        <v>122</v>
      </c>
      <c r="AP126" s="255" t="e">
        <f t="shared" si="82"/>
        <v>#N/A</v>
      </c>
      <c r="AQ126" s="120" t="e">
        <f t="shared" si="59"/>
        <v>#N/A</v>
      </c>
      <c r="AR126" s="120" t="e">
        <f t="shared" si="81"/>
        <v>#N/A</v>
      </c>
      <c r="AS126" s="121">
        <f t="shared" si="48"/>
        <v>1</v>
      </c>
      <c r="AT126" s="120" t="str">
        <f t="shared" si="49"/>
        <v> </v>
      </c>
      <c r="AU126" s="120" t="str">
        <f t="shared" si="50"/>
        <v> </v>
      </c>
      <c r="AV126" s="120" t="e">
        <f t="shared" si="60"/>
        <v>#N/A</v>
      </c>
      <c r="AW126" s="120" t="e">
        <f t="shared" si="61"/>
        <v>#N/A</v>
      </c>
      <c r="AX126" s="120">
        <f t="shared" si="62"/>
      </c>
      <c r="AY126" s="120" t="e">
        <f t="shared" si="63"/>
        <v>#N/A</v>
      </c>
      <c r="AZ126" s="120" t="e">
        <f>VLOOKUP(AY126,'排出係数表'!$A$4:$C$202,2,FALSE)</f>
        <v>#N/A</v>
      </c>
      <c r="BA126" s="120" t="e">
        <f t="shared" si="64"/>
        <v>#N/A</v>
      </c>
      <c r="BB126" s="120" t="e">
        <f>VLOOKUP(AY126,'排出係数表'!$A$4:$C$202,3,FALSE)</f>
        <v>#N/A</v>
      </c>
      <c r="BC126" s="120" t="e">
        <f t="shared" si="65"/>
        <v>#N/A</v>
      </c>
      <c r="BD126" s="120">
        <f t="shared" si="76"/>
        <v>1</v>
      </c>
      <c r="BE126" s="122">
        <f t="shared" si="66"/>
      </c>
      <c r="BF126" s="123" t="e">
        <f t="shared" si="51"/>
        <v>#VALUE!</v>
      </c>
      <c r="BG126" s="122">
        <f t="shared" si="77"/>
      </c>
      <c r="BH126" s="120" t="e">
        <f t="shared" si="78"/>
        <v>#VALUE!</v>
      </c>
      <c r="BI126" s="120" t="e">
        <f t="shared" si="79"/>
        <v>#VALUE!</v>
      </c>
      <c r="BJ126" s="122" t="e">
        <f>VLOOKUP(AY126,'排出係数表'!$A$4:$D$202,4)</f>
        <v>#N/A</v>
      </c>
      <c r="BK126" s="257">
        <f t="shared" si="80"/>
      </c>
    </row>
    <row r="127" spans="1:63" s="124" customFormat="1" ht="13.5" customHeight="1">
      <c r="A127" s="120"/>
      <c r="B127" s="120"/>
      <c r="C127" s="155"/>
      <c r="D127" s="155"/>
      <c r="E127" s="155"/>
      <c r="F127" s="155"/>
      <c r="G127" s="156"/>
      <c r="H127" s="157"/>
      <c r="I127" s="155"/>
      <c r="J127" s="155"/>
      <c r="K127" s="158"/>
      <c r="L127" s="159"/>
      <c r="M127" s="244"/>
      <c r="N127" s="155"/>
      <c r="O127" s="345">
        <f t="shared" si="67"/>
      </c>
      <c r="P127" s="345">
        <f t="shared" si="52"/>
      </c>
      <c r="Q127" s="508"/>
      <c r="R127" s="346"/>
      <c r="S127" s="347"/>
      <c r="T127" s="348"/>
      <c r="U127" s="347"/>
      <c r="V127" s="348"/>
      <c r="W127" s="347"/>
      <c r="X127" s="348"/>
      <c r="Y127" s="347"/>
      <c r="Z127" s="348"/>
      <c r="AA127" s="340" t="e">
        <f t="shared" si="53"/>
        <v>#N/A</v>
      </c>
      <c r="AB127" s="339">
        <f t="shared" si="68"/>
      </c>
      <c r="AC127" s="339">
        <f t="shared" si="69"/>
      </c>
      <c r="AD127" s="255">
        <f t="shared" si="70"/>
      </c>
      <c r="AE127" s="256">
        <f t="shared" si="71"/>
      </c>
      <c r="AF127" s="256">
        <f t="shared" si="72"/>
      </c>
      <c r="AG127" s="255">
        <f t="shared" si="73"/>
      </c>
      <c r="AH127" s="255">
        <f t="shared" si="54"/>
      </c>
      <c r="AI127" s="255">
        <f t="shared" si="74"/>
      </c>
      <c r="AJ127" s="255">
        <f t="shared" si="75"/>
      </c>
      <c r="AK127" s="255">
        <f t="shared" si="55"/>
      </c>
      <c r="AL127" s="255">
        <f t="shared" si="56"/>
      </c>
      <c r="AM127" s="120">
        <f ca="1" t="shared" si="46"/>
        <v>0</v>
      </c>
      <c r="AN127" s="120" t="e">
        <f t="shared" si="57"/>
        <v>#N/A</v>
      </c>
      <c r="AO127" s="120">
        <f>ROWS($AO$4:AO127)-1</f>
        <v>123</v>
      </c>
      <c r="AP127" s="255" t="e">
        <f t="shared" si="82"/>
        <v>#N/A</v>
      </c>
      <c r="AQ127" s="120" t="e">
        <f t="shared" si="59"/>
        <v>#N/A</v>
      </c>
      <c r="AR127" s="120" t="e">
        <f t="shared" si="81"/>
        <v>#N/A</v>
      </c>
      <c r="AS127" s="121">
        <f t="shared" si="48"/>
        <v>1</v>
      </c>
      <c r="AT127" s="120" t="str">
        <f t="shared" si="49"/>
        <v> </v>
      </c>
      <c r="AU127" s="120" t="str">
        <f t="shared" si="50"/>
        <v> </v>
      </c>
      <c r="AV127" s="120" t="e">
        <f t="shared" si="60"/>
        <v>#N/A</v>
      </c>
      <c r="AW127" s="120" t="e">
        <f t="shared" si="61"/>
        <v>#N/A</v>
      </c>
      <c r="AX127" s="120">
        <f t="shared" si="62"/>
      </c>
      <c r="AY127" s="120" t="e">
        <f t="shared" si="63"/>
        <v>#N/A</v>
      </c>
      <c r="AZ127" s="120" t="e">
        <f>VLOOKUP(AY127,'排出係数表'!$A$4:$C$202,2,FALSE)</f>
        <v>#N/A</v>
      </c>
      <c r="BA127" s="120" t="e">
        <f t="shared" si="64"/>
        <v>#N/A</v>
      </c>
      <c r="BB127" s="120" t="e">
        <f>VLOOKUP(AY127,'排出係数表'!$A$4:$C$202,3,FALSE)</f>
        <v>#N/A</v>
      </c>
      <c r="BC127" s="120" t="e">
        <f t="shared" si="65"/>
        <v>#N/A</v>
      </c>
      <c r="BD127" s="120">
        <f t="shared" si="76"/>
        <v>1</v>
      </c>
      <c r="BE127" s="122">
        <f t="shared" si="66"/>
      </c>
      <c r="BF127" s="123" t="e">
        <f t="shared" si="51"/>
        <v>#VALUE!</v>
      </c>
      <c r="BG127" s="122">
        <f t="shared" si="77"/>
      </c>
      <c r="BH127" s="120" t="e">
        <f t="shared" si="78"/>
        <v>#VALUE!</v>
      </c>
      <c r="BI127" s="120" t="e">
        <f t="shared" si="79"/>
        <v>#VALUE!</v>
      </c>
      <c r="BJ127" s="122" t="e">
        <f>VLOOKUP(AY127,'排出係数表'!$A$4:$D$202,4)</f>
        <v>#N/A</v>
      </c>
      <c r="BK127" s="257">
        <f t="shared" si="80"/>
      </c>
    </row>
    <row r="128" spans="1:63" s="124" customFormat="1" ht="13.5" customHeight="1">
      <c r="A128" s="120"/>
      <c r="B128" s="120"/>
      <c r="C128" s="155"/>
      <c r="D128" s="155"/>
      <c r="E128" s="155"/>
      <c r="F128" s="155"/>
      <c r="G128" s="156"/>
      <c r="H128" s="157"/>
      <c r="I128" s="155"/>
      <c r="J128" s="155"/>
      <c r="K128" s="158"/>
      <c r="L128" s="159"/>
      <c r="M128" s="244"/>
      <c r="N128" s="155"/>
      <c r="O128" s="345">
        <f t="shared" si="67"/>
      </c>
      <c r="P128" s="345">
        <f t="shared" si="52"/>
      </c>
      <c r="Q128" s="508"/>
      <c r="R128" s="346"/>
      <c r="S128" s="347"/>
      <c r="T128" s="348"/>
      <c r="U128" s="347"/>
      <c r="V128" s="348"/>
      <c r="W128" s="347"/>
      <c r="X128" s="348"/>
      <c r="Y128" s="347"/>
      <c r="Z128" s="348"/>
      <c r="AA128" s="340" t="e">
        <f t="shared" si="53"/>
        <v>#N/A</v>
      </c>
      <c r="AB128" s="339">
        <f t="shared" si="68"/>
      </c>
      <c r="AC128" s="339">
        <f t="shared" si="69"/>
      </c>
      <c r="AD128" s="255">
        <f t="shared" si="70"/>
      </c>
      <c r="AE128" s="256">
        <f t="shared" si="71"/>
      </c>
      <c r="AF128" s="256">
        <f t="shared" si="72"/>
      </c>
      <c r="AG128" s="255">
        <f t="shared" si="73"/>
      </c>
      <c r="AH128" s="255">
        <f t="shared" si="54"/>
      </c>
      <c r="AI128" s="255">
        <f t="shared" si="74"/>
      </c>
      <c r="AJ128" s="255">
        <f t="shared" si="75"/>
      </c>
      <c r="AK128" s="255">
        <f t="shared" si="55"/>
      </c>
      <c r="AL128" s="255">
        <f t="shared" si="56"/>
      </c>
      <c r="AM128" s="120">
        <f ca="1" t="shared" si="46"/>
        <v>0</v>
      </c>
      <c r="AN128" s="120" t="e">
        <f t="shared" si="57"/>
        <v>#N/A</v>
      </c>
      <c r="AO128" s="120">
        <f>ROWS($AO$4:AO128)-1</f>
        <v>124</v>
      </c>
      <c r="AP128" s="255" t="e">
        <f t="shared" si="82"/>
        <v>#N/A</v>
      </c>
      <c r="AQ128" s="120" t="e">
        <f t="shared" si="59"/>
        <v>#N/A</v>
      </c>
      <c r="AR128" s="120" t="e">
        <f t="shared" si="81"/>
        <v>#N/A</v>
      </c>
      <c r="AS128" s="121">
        <f t="shared" si="48"/>
        <v>1</v>
      </c>
      <c r="AT128" s="120" t="str">
        <f t="shared" si="49"/>
        <v> </v>
      </c>
      <c r="AU128" s="120" t="str">
        <f t="shared" si="50"/>
        <v> </v>
      </c>
      <c r="AV128" s="120" t="e">
        <f t="shared" si="60"/>
        <v>#N/A</v>
      </c>
      <c r="AW128" s="120" t="e">
        <f t="shared" si="61"/>
        <v>#N/A</v>
      </c>
      <c r="AX128" s="120">
        <f t="shared" si="62"/>
      </c>
      <c r="AY128" s="120" t="e">
        <f t="shared" si="63"/>
        <v>#N/A</v>
      </c>
      <c r="AZ128" s="120" t="e">
        <f>VLOOKUP(AY128,'排出係数表'!$A$4:$C$202,2,FALSE)</f>
        <v>#N/A</v>
      </c>
      <c r="BA128" s="120" t="e">
        <f t="shared" si="64"/>
        <v>#N/A</v>
      </c>
      <c r="BB128" s="120" t="e">
        <f>VLOOKUP(AY128,'排出係数表'!$A$4:$C$202,3,FALSE)</f>
        <v>#N/A</v>
      </c>
      <c r="BC128" s="120" t="e">
        <f t="shared" si="65"/>
        <v>#N/A</v>
      </c>
      <c r="BD128" s="120">
        <f t="shared" si="76"/>
        <v>1</v>
      </c>
      <c r="BE128" s="122">
        <f t="shared" si="66"/>
      </c>
      <c r="BF128" s="123" t="e">
        <f t="shared" si="51"/>
        <v>#VALUE!</v>
      </c>
      <c r="BG128" s="122">
        <f t="shared" si="77"/>
      </c>
      <c r="BH128" s="120" t="e">
        <f t="shared" si="78"/>
        <v>#VALUE!</v>
      </c>
      <c r="BI128" s="120" t="e">
        <f t="shared" si="79"/>
        <v>#VALUE!</v>
      </c>
      <c r="BJ128" s="122" t="e">
        <f>VLOOKUP(AY128,'排出係数表'!$A$4:$D$202,4)</f>
        <v>#N/A</v>
      </c>
      <c r="BK128" s="257">
        <f t="shared" si="80"/>
      </c>
    </row>
    <row r="129" spans="1:63" s="124" customFormat="1" ht="13.5" customHeight="1">
      <c r="A129" s="120"/>
      <c r="B129" s="120"/>
      <c r="C129" s="155"/>
      <c r="D129" s="155"/>
      <c r="E129" s="155"/>
      <c r="F129" s="155"/>
      <c r="G129" s="156"/>
      <c r="H129" s="157"/>
      <c r="I129" s="155"/>
      <c r="J129" s="155"/>
      <c r="K129" s="158"/>
      <c r="L129" s="159"/>
      <c r="M129" s="244"/>
      <c r="N129" s="155"/>
      <c r="O129" s="345">
        <f t="shared" si="67"/>
      </c>
      <c r="P129" s="345">
        <f t="shared" si="52"/>
      </c>
      <c r="Q129" s="508"/>
      <c r="R129" s="346"/>
      <c r="S129" s="347"/>
      <c r="T129" s="348"/>
      <c r="U129" s="347"/>
      <c r="V129" s="348"/>
      <c r="W129" s="347"/>
      <c r="X129" s="348"/>
      <c r="Y129" s="347"/>
      <c r="Z129" s="348"/>
      <c r="AA129" s="340" t="e">
        <f t="shared" si="53"/>
        <v>#N/A</v>
      </c>
      <c r="AB129" s="339">
        <f t="shared" si="68"/>
      </c>
      <c r="AC129" s="339">
        <f t="shared" si="69"/>
      </c>
      <c r="AD129" s="255">
        <f t="shared" si="70"/>
      </c>
      <c r="AE129" s="256">
        <f t="shared" si="71"/>
      </c>
      <c r="AF129" s="256">
        <f t="shared" si="72"/>
      </c>
      <c r="AG129" s="255">
        <f t="shared" si="73"/>
      </c>
      <c r="AH129" s="255">
        <f t="shared" si="54"/>
      </c>
      <c r="AI129" s="255">
        <f t="shared" si="74"/>
      </c>
      <c r="AJ129" s="255">
        <f t="shared" si="75"/>
      </c>
      <c r="AK129" s="255">
        <f t="shared" si="55"/>
      </c>
      <c r="AL129" s="255">
        <f t="shared" si="56"/>
      </c>
      <c r="AM129" s="120">
        <f ca="1" t="shared" si="46"/>
        <v>0</v>
      </c>
      <c r="AN129" s="120" t="e">
        <f t="shared" si="57"/>
        <v>#N/A</v>
      </c>
      <c r="AO129" s="120">
        <f>ROWS($AO$4:AO129)-1</f>
        <v>125</v>
      </c>
      <c r="AP129" s="255" t="e">
        <f t="shared" si="82"/>
        <v>#N/A</v>
      </c>
      <c r="AQ129" s="120" t="e">
        <f t="shared" si="59"/>
        <v>#N/A</v>
      </c>
      <c r="AR129" s="120" t="e">
        <f t="shared" si="81"/>
        <v>#N/A</v>
      </c>
      <c r="AS129" s="121">
        <f t="shared" si="48"/>
        <v>1</v>
      </c>
      <c r="AT129" s="120" t="str">
        <f t="shared" si="49"/>
        <v> </v>
      </c>
      <c r="AU129" s="120" t="str">
        <f t="shared" si="50"/>
        <v> </v>
      </c>
      <c r="AV129" s="120" t="e">
        <f t="shared" si="60"/>
        <v>#N/A</v>
      </c>
      <c r="AW129" s="120" t="e">
        <f t="shared" si="61"/>
        <v>#N/A</v>
      </c>
      <c r="AX129" s="120">
        <f t="shared" si="62"/>
      </c>
      <c r="AY129" s="120" t="e">
        <f t="shared" si="63"/>
        <v>#N/A</v>
      </c>
      <c r="AZ129" s="120" t="e">
        <f>VLOOKUP(AY129,'排出係数表'!$A$4:$C$202,2,FALSE)</f>
        <v>#N/A</v>
      </c>
      <c r="BA129" s="120" t="e">
        <f t="shared" si="64"/>
        <v>#N/A</v>
      </c>
      <c r="BB129" s="120" t="e">
        <f>VLOOKUP(AY129,'排出係数表'!$A$4:$C$202,3,FALSE)</f>
        <v>#N/A</v>
      </c>
      <c r="BC129" s="120" t="e">
        <f t="shared" si="65"/>
        <v>#N/A</v>
      </c>
      <c r="BD129" s="120">
        <f t="shared" si="76"/>
        <v>1</v>
      </c>
      <c r="BE129" s="122">
        <f t="shared" si="66"/>
      </c>
      <c r="BF129" s="123" t="e">
        <f t="shared" si="51"/>
        <v>#VALUE!</v>
      </c>
      <c r="BG129" s="122">
        <f t="shared" si="77"/>
      </c>
      <c r="BH129" s="120" t="e">
        <f t="shared" si="78"/>
        <v>#VALUE!</v>
      </c>
      <c r="BI129" s="120" t="e">
        <f t="shared" si="79"/>
        <v>#VALUE!</v>
      </c>
      <c r="BJ129" s="122" t="e">
        <f>VLOOKUP(AY129,'排出係数表'!$A$4:$D$202,4)</f>
        <v>#N/A</v>
      </c>
      <c r="BK129" s="257">
        <f t="shared" si="80"/>
      </c>
    </row>
    <row r="130" spans="1:63" s="124" customFormat="1" ht="13.5" customHeight="1">
      <c r="A130" s="120"/>
      <c r="B130" s="120"/>
      <c r="C130" s="155"/>
      <c r="D130" s="155"/>
      <c r="E130" s="155"/>
      <c r="F130" s="155"/>
      <c r="G130" s="156"/>
      <c r="H130" s="157"/>
      <c r="I130" s="155"/>
      <c r="J130" s="155"/>
      <c r="K130" s="158"/>
      <c r="L130" s="159"/>
      <c r="M130" s="244"/>
      <c r="N130" s="155"/>
      <c r="O130" s="345">
        <f t="shared" si="67"/>
      </c>
      <c r="P130" s="345">
        <f t="shared" si="52"/>
      </c>
      <c r="Q130" s="508"/>
      <c r="R130" s="346"/>
      <c r="S130" s="347"/>
      <c r="T130" s="348"/>
      <c r="U130" s="347"/>
      <c r="V130" s="348"/>
      <c r="W130" s="347"/>
      <c r="X130" s="348"/>
      <c r="Y130" s="347"/>
      <c r="Z130" s="348"/>
      <c r="AA130" s="340" t="e">
        <f t="shared" si="53"/>
        <v>#N/A</v>
      </c>
      <c r="AB130" s="339">
        <f t="shared" si="68"/>
      </c>
      <c r="AC130" s="339">
        <f t="shared" si="69"/>
      </c>
      <c r="AD130" s="255">
        <f t="shared" si="70"/>
      </c>
      <c r="AE130" s="256">
        <f t="shared" si="71"/>
      </c>
      <c r="AF130" s="256">
        <f t="shared" si="72"/>
      </c>
      <c r="AG130" s="255">
        <f t="shared" si="73"/>
      </c>
      <c r="AH130" s="255">
        <f t="shared" si="54"/>
      </c>
      <c r="AI130" s="255">
        <f t="shared" si="74"/>
      </c>
      <c r="AJ130" s="255">
        <f t="shared" si="75"/>
      </c>
      <c r="AK130" s="255">
        <f t="shared" si="55"/>
      </c>
      <c r="AL130" s="255">
        <f t="shared" si="56"/>
      </c>
      <c r="AM130" s="120">
        <f ca="1" t="shared" si="46"/>
        <v>0</v>
      </c>
      <c r="AN130" s="120" t="e">
        <f t="shared" si="57"/>
        <v>#N/A</v>
      </c>
      <c r="AO130" s="120">
        <f>ROWS($AO$4:AO130)-1</f>
        <v>126</v>
      </c>
      <c r="AP130" s="255" t="e">
        <f t="shared" si="82"/>
        <v>#N/A</v>
      </c>
      <c r="AQ130" s="120" t="e">
        <f t="shared" si="59"/>
        <v>#N/A</v>
      </c>
      <c r="AR130" s="120" t="e">
        <f t="shared" si="81"/>
        <v>#N/A</v>
      </c>
      <c r="AS130" s="121">
        <f t="shared" si="48"/>
        <v>1</v>
      </c>
      <c r="AT130" s="120" t="str">
        <f t="shared" si="49"/>
        <v> </v>
      </c>
      <c r="AU130" s="120" t="str">
        <f t="shared" si="50"/>
        <v> </v>
      </c>
      <c r="AV130" s="120" t="e">
        <f t="shared" si="60"/>
        <v>#N/A</v>
      </c>
      <c r="AW130" s="120" t="e">
        <f t="shared" si="61"/>
        <v>#N/A</v>
      </c>
      <c r="AX130" s="120">
        <f t="shared" si="62"/>
      </c>
      <c r="AY130" s="120" t="e">
        <f t="shared" si="63"/>
        <v>#N/A</v>
      </c>
      <c r="AZ130" s="120" t="e">
        <f>VLOOKUP(AY130,'排出係数表'!$A$4:$C$202,2,FALSE)</f>
        <v>#N/A</v>
      </c>
      <c r="BA130" s="120" t="e">
        <f t="shared" si="64"/>
        <v>#N/A</v>
      </c>
      <c r="BB130" s="120" t="e">
        <f>VLOOKUP(AY130,'排出係数表'!$A$4:$C$202,3,FALSE)</f>
        <v>#N/A</v>
      </c>
      <c r="BC130" s="120" t="e">
        <f t="shared" si="65"/>
        <v>#N/A</v>
      </c>
      <c r="BD130" s="120">
        <f t="shared" si="76"/>
        <v>1</v>
      </c>
      <c r="BE130" s="122">
        <f t="shared" si="66"/>
      </c>
      <c r="BF130" s="123" t="e">
        <f t="shared" si="51"/>
        <v>#VALUE!</v>
      </c>
      <c r="BG130" s="122">
        <f t="shared" si="77"/>
      </c>
      <c r="BH130" s="120" t="e">
        <f t="shared" si="78"/>
        <v>#VALUE!</v>
      </c>
      <c r="BI130" s="120" t="e">
        <f t="shared" si="79"/>
        <v>#VALUE!</v>
      </c>
      <c r="BJ130" s="122" t="e">
        <f>VLOOKUP(AY130,'排出係数表'!$A$4:$D$202,4)</f>
        <v>#N/A</v>
      </c>
      <c r="BK130" s="257">
        <f t="shared" si="80"/>
      </c>
    </row>
    <row r="131" spans="1:63" s="124" customFormat="1" ht="13.5" customHeight="1">
      <c r="A131" s="120"/>
      <c r="B131" s="120"/>
      <c r="C131" s="155"/>
      <c r="D131" s="155"/>
      <c r="E131" s="155"/>
      <c r="F131" s="155"/>
      <c r="G131" s="156"/>
      <c r="H131" s="157"/>
      <c r="I131" s="155"/>
      <c r="J131" s="155"/>
      <c r="K131" s="158"/>
      <c r="L131" s="159"/>
      <c r="M131" s="244"/>
      <c r="N131" s="155"/>
      <c r="O131" s="345">
        <f t="shared" si="67"/>
      </c>
      <c r="P131" s="345">
        <f t="shared" si="52"/>
      </c>
      <c r="Q131" s="508"/>
      <c r="R131" s="346"/>
      <c r="S131" s="347"/>
      <c r="T131" s="348"/>
      <c r="U131" s="347"/>
      <c r="V131" s="348"/>
      <c r="W131" s="347"/>
      <c r="X131" s="348"/>
      <c r="Y131" s="347"/>
      <c r="Z131" s="348"/>
      <c r="AA131" s="340" t="e">
        <f t="shared" si="53"/>
        <v>#N/A</v>
      </c>
      <c r="AB131" s="339">
        <f t="shared" si="68"/>
      </c>
      <c r="AC131" s="339">
        <f t="shared" si="69"/>
      </c>
      <c r="AD131" s="255">
        <f t="shared" si="70"/>
      </c>
      <c r="AE131" s="256">
        <f t="shared" si="71"/>
      </c>
      <c r="AF131" s="256">
        <f t="shared" si="72"/>
      </c>
      <c r="AG131" s="255">
        <f t="shared" si="73"/>
      </c>
      <c r="AH131" s="255">
        <f t="shared" si="54"/>
      </c>
      <c r="AI131" s="255">
        <f t="shared" si="74"/>
      </c>
      <c r="AJ131" s="255">
        <f t="shared" si="75"/>
      </c>
      <c r="AK131" s="255">
        <f t="shared" si="55"/>
      </c>
      <c r="AL131" s="255">
        <f t="shared" si="56"/>
      </c>
      <c r="AM131" s="120">
        <f ca="1" t="shared" si="46"/>
        <v>0</v>
      </c>
      <c r="AN131" s="120" t="e">
        <f t="shared" si="57"/>
        <v>#N/A</v>
      </c>
      <c r="AO131" s="120">
        <f>ROWS($AO$4:AO131)-1</f>
        <v>127</v>
      </c>
      <c r="AP131" s="255" t="e">
        <f t="shared" si="82"/>
        <v>#N/A</v>
      </c>
      <c r="AQ131" s="120" t="e">
        <f t="shared" si="59"/>
        <v>#N/A</v>
      </c>
      <c r="AR131" s="120" t="e">
        <f t="shared" si="81"/>
        <v>#N/A</v>
      </c>
      <c r="AS131" s="121">
        <f t="shared" si="48"/>
        <v>1</v>
      </c>
      <c r="AT131" s="120" t="str">
        <f t="shared" si="49"/>
        <v> </v>
      </c>
      <c r="AU131" s="120" t="str">
        <f t="shared" si="50"/>
        <v> </v>
      </c>
      <c r="AV131" s="120" t="e">
        <f t="shared" si="60"/>
        <v>#N/A</v>
      </c>
      <c r="AW131" s="120" t="e">
        <f t="shared" si="61"/>
        <v>#N/A</v>
      </c>
      <c r="AX131" s="120">
        <f t="shared" si="62"/>
      </c>
      <c r="AY131" s="120" t="e">
        <f t="shared" si="63"/>
        <v>#N/A</v>
      </c>
      <c r="AZ131" s="120" t="e">
        <f>VLOOKUP(AY131,'排出係数表'!$A$4:$C$202,2,FALSE)</f>
        <v>#N/A</v>
      </c>
      <c r="BA131" s="120" t="e">
        <f t="shared" si="64"/>
        <v>#N/A</v>
      </c>
      <c r="BB131" s="120" t="e">
        <f>VLOOKUP(AY131,'排出係数表'!$A$4:$C$202,3,FALSE)</f>
        <v>#N/A</v>
      </c>
      <c r="BC131" s="120" t="e">
        <f t="shared" si="65"/>
        <v>#N/A</v>
      </c>
      <c r="BD131" s="120">
        <f t="shared" si="76"/>
        <v>1</v>
      </c>
      <c r="BE131" s="122">
        <f t="shared" si="66"/>
      </c>
      <c r="BF131" s="123" t="e">
        <f t="shared" si="51"/>
        <v>#VALUE!</v>
      </c>
      <c r="BG131" s="122">
        <f t="shared" si="77"/>
      </c>
      <c r="BH131" s="120" t="e">
        <f t="shared" si="78"/>
        <v>#VALUE!</v>
      </c>
      <c r="BI131" s="120" t="e">
        <f t="shared" si="79"/>
        <v>#VALUE!</v>
      </c>
      <c r="BJ131" s="122" t="e">
        <f>VLOOKUP(AY131,'排出係数表'!$A$4:$D$202,4)</f>
        <v>#N/A</v>
      </c>
      <c r="BK131" s="257">
        <f t="shared" si="80"/>
      </c>
    </row>
    <row r="132" spans="1:63" s="124" customFormat="1" ht="13.5" customHeight="1">
      <c r="A132" s="120"/>
      <c r="B132" s="120"/>
      <c r="C132" s="155"/>
      <c r="D132" s="155"/>
      <c r="E132" s="155"/>
      <c r="F132" s="155"/>
      <c r="G132" s="156"/>
      <c r="H132" s="157"/>
      <c r="I132" s="155"/>
      <c r="J132" s="155"/>
      <c r="K132" s="158"/>
      <c r="L132" s="159"/>
      <c r="M132" s="244"/>
      <c r="N132" s="155"/>
      <c r="O132" s="345">
        <f t="shared" si="67"/>
      </c>
      <c r="P132" s="345">
        <f t="shared" si="52"/>
      </c>
      <c r="Q132" s="508"/>
      <c r="R132" s="346"/>
      <c r="S132" s="347"/>
      <c r="T132" s="348"/>
      <c r="U132" s="347"/>
      <c r="V132" s="348"/>
      <c r="W132" s="347"/>
      <c r="X132" s="348"/>
      <c r="Y132" s="347"/>
      <c r="Z132" s="348"/>
      <c r="AA132" s="340" t="e">
        <f t="shared" si="53"/>
        <v>#N/A</v>
      </c>
      <c r="AB132" s="339">
        <f t="shared" si="68"/>
      </c>
      <c r="AC132" s="339">
        <f t="shared" si="69"/>
      </c>
      <c r="AD132" s="255">
        <f t="shared" si="70"/>
      </c>
      <c r="AE132" s="256">
        <f t="shared" si="71"/>
      </c>
      <c r="AF132" s="256">
        <f t="shared" si="72"/>
      </c>
      <c r="AG132" s="255">
        <f t="shared" si="73"/>
      </c>
      <c r="AH132" s="255">
        <f t="shared" si="54"/>
      </c>
      <c r="AI132" s="255">
        <f t="shared" si="74"/>
      </c>
      <c r="AJ132" s="255">
        <f t="shared" si="75"/>
      </c>
      <c r="AK132" s="255">
        <f t="shared" si="55"/>
      </c>
      <c r="AL132" s="255">
        <f t="shared" si="56"/>
      </c>
      <c r="AM132" s="120">
        <f ca="1" t="shared" si="46"/>
        <v>0</v>
      </c>
      <c r="AN132" s="120" t="e">
        <f t="shared" si="57"/>
        <v>#N/A</v>
      </c>
      <c r="AO132" s="120">
        <f>ROWS($AO$4:AO132)-1</f>
        <v>128</v>
      </c>
      <c r="AP132" s="255" t="e">
        <f t="shared" si="82"/>
        <v>#N/A</v>
      </c>
      <c r="AQ132" s="120" t="e">
        <f t="shared" si="59"/>
        <v>#N/A</v>
      </c>
      <c r="AR132" s="120" t="e">
        <f t="shared" si="81"/>
        <v>#N/A</v>
      </c>
      <c r="AS132" s="121">
        <f t="shared" si="48"/>
        <v>1</v>
      </c>
      <c r="AT132" s="120" t="str">
        <f t="shared" si="49"/>
        <v> </v>
      </c>
      <c r="AU132" s="120" t="str">
        <f t="shared" si="50"/>
        <v> </v>
      </c>
      <c r="AV132" s="120" t="e">
        <f t="shared" si="60"/>
        <v>#N/A</v>
      </c>
      <c r="AW132" s="120" t="e">
        <f t="shared" si="61"/>
        <v>#N/A</v>
      </c>
      <c r="AX132" s="120">
        <f t="shared" si="62"/>
      </c>
      <c r="AY132" s="120" t="e">
        <f t="shared" si="63"/>
        <v>#N/A</v>
      </c>
      <c r="AZ132" s="120" t="e">
        <f>VLOOKUP(AY132,'排出係数表'!$A$4:$C$202,2,FALSE)</f>
        <v>#N/A</v>
      </c>
      <c r="BA132" s="120" t="e">
        <f t="shared" si="64"/>
        <v>#N/A</v>
      </c>
      <c r="BB132" s="120" t="e">
        <f>VLOOKUP(AY132,'排出係数表'!$A$4:$C$202,3,FALSE)</f>
        <v>#N/A</v>
      </c>
      <c r="BC132" s="120" t="e">
        <f t="shared" si="65"/>
        <v>#N/A</v>
      </c>
      <c r="BD132" s="120">
        <f t="shared" si="76"/>
        <v>1</v>
      </c>
      <c r="BE132" s="122">
        <f t="shared" si="66"/>
      </c>
      <c r="BF132" s="123" t="e">
        <f t="shared" si="51"/>
        <v>#VALUE!</v>
      </c>
      <c r="BG132" s="122">
        <f t="shared" si="77"/>
      </c>
      <c r="BH132" s="120" t="e">
        <f t="shared" si="78"/>
        <v>#VALUE!</v>
      </c>
      <c r="BI132" s="120" t="e">
        <f t="shared" si="79"/>
        <v>#VALUE!</v>
      </c>
      <c r="BJ132" s="122" t="e">
        <f>VLOOKUP(AY132,'排出係数表'!$A$4:$D$202,4)</f>
        <v>#N/A</v>
      </c>
      <c r="BK132" s="257">
        <f t="shared" si="80"/>
      </c>
    </row>
    <row r="133" spans="1:63" s="124" customFormat="1" ht="13.5" customHeight="1">
      <c r="A133" s="120"/>
      <c r="B133" s="120"/>
      <c r="C133" s="155"/>
      <c r="D133" s="155"/>
      <c r="E133" s="155"/>
      <c r="F133" s="155"/>
      <c r="G133" s="156"/>
      <c r="H133" s="157"/>
      <c r="I133" s="155"/>
      <c r="J133" s="155"/>
      <c r="K133" s="158"/>
      <c r="L133" s="159"/>
      <c r="M133" s="244"/>
      <c r="N133" s="155"/>
      <c r="O133" s="345">
        <f t="shared" si="67"/>
      </c>
      <c r="P133" s="345">
        <f aca="true" t="shared" si="83" ref="P133:P196">IF(ISBLANK(J133)=TRUE,"",IF(AW133="メ","要確認",IF(ISNUMBER(BB133*BC133)=TRUE,BB133*BC133,"要確認")))</f>
      </c>
      <c r="Q133" s="508"/>
      <c r="R133" s="346"/>
      <c r="S133" s="347"/>
      <c r="T133" s="348"/>
      <c r="U133" s="347"/>
      <c r="V133" s="348"/>
      <c r="W133" s="347"/>
      <c r="X133" s="348"/>
      <c r="Y133" s="347"/>
      <c r="Z133" s="348"/>
      <c r="AA133" s="340" t="e">
        <f aca="true" t="shared" si="84" ref="AA133:AA196">IF(AND(BJ133="否",T133&lt;&gt;"廃止",V133&lt;&gt;"廃止",X133&lt;&gt;"廃止",Z133&lt;&gt;"廃止"),IF(OR(AND(OR(LEFT(F133,1)="1",LEFT(F133,1)="4"),BK133&lt;"199704"),AND(LEFT(F133,1)="2",BK133&lt;"199804"),AND(LEFT(F133,1)="3",I133&gt;6000,BK133&lt;"199404"),AND(LEFT(F133,1)="3",I133&lt;=6000,BK133&lt;"199604"),AND(OR(LEFT(F133,1)="5",LEFT(F133,1)="6",LEFT(F133,1)="7",LEFT(F133,1)="8"),BK133&lt;"199604")),"★",""),"")</f>
        <v>#N/A</v>
      </c>
      <c r="AB133" s="339">
        <f t="shared" si="68"/>
      </c>
      <c r="AC133" s="339">
        <f t="shared" si="69"/>
      </c>
      <c r="AD133" s="255">
        <f t="shared" si="70"/>
      </c>
      <c r="AE133" s="256">
        <f t="shared" si="71"/>
      </c>
      <c r="AF133" s="256">
        <f t="shared" si="72"/>
      </c>
      <c r="AG133" s="255">
        <f t="shared" si="73"/>
      </c>
      <c r="AH133" s="255">
        <f aca="true" t="shared" si="85" ref="AH133:AH196">IF(J133="","",LOOKUP($F$1,実績報告年度,$L$336:$L$339))</f>
      </c>
      <c r="AI133" s="255">
        <f t="shared" si="74"/>
      </c>
      <c r="AJ133" s="255">
        <f t="shared" si="75"/>
      </c>
      <c r="AK133" s="255">
        <f aca="true" t="shared" si="86" ref="AK133:AK196">IF(J133="","",IF(AND((AH133&gt;=AG133),(AH133&lt;=AI133)),1,0))</f>
      </c>
      <c r="AL133" s="255">
        <f aca="true" t="shared" si="87" ref="AL133:AL196">IF(J133="","",IF(AND((AH133&gt;=AG133),(AH133&lt;AI133)),1,0))</f>
      </c>
      <c r="AM133" s="120">
        <f ca="1" t="shared" si="46"/>
        <v>0</v>
      </c>
      <c r="AN133" s="120" t="e">
        <f aca="true" t="shared" si="88" ref="AN133:AN196">MATCH(AO133,$AM$5:$AM$304,0)</f>
        <v>#N/A</v>
      </c>
      <c r="AO133" s="120">
        <f>ROWS($AO$4:AO133)-1</f>
        <v>129</v>
      </c>
      <c r="AP133" s="255" t="e">
        <f t="shared" si="82"/>
        <v>#N/A</v>
      </c>
      <c r="AQ133" s="120" t="e">
        <f aca="true" t="shared" si="89" ref="AQ133:AQ196">LOOKUP(F133,種類,$L$307:$L$314)</f>
        <v>#N/A</v>
      </c>
      <c r="AR133" s="120" t="e">
        <f t="shared" si="81"/>
        <v>#N/A</v>
      </c>
      <c r="AS133" s="121">
        <f t="shared" si="48"/>
        <v>1</v>
      </c>
      <c r="AT133" s="120" t="str">
        <f t="shared" si="49"/>
        <v> </v>
      </c>
      <c r="AU133" s="120" t="str">
        <f t="shared" si="50"/>
        <v> </v>
      </c>
      <c r="AV133" s="120" t="e">
        <f aca="true" t="shared" si="90" ref="AV133:AV196">IF(AQ133="乗",0,IF(LEFT(F133,1)="4",0,IF(I133&lt;=1700,1,IF(I133&lt;=2500,2,IF(I133&lt;=3500,3,4)))))</f>
        <v>#N/A</v>
      </c>
      <c r="AW133" s="120" t="e">
        <f aca="true" t="shared" si="91" ref="AW133:AW196">LOOKUP(J133,燃料,$L$317:$L$333)</f>
        <v>#N/A</v>
      </c>
      <c r="AX133" s="120">
        <f aca="true" t="shared" si="92" ref="AX133:AX196">IF(ISERROR(SEARCH("-",ASC(G133),1))=TRUE,UPPER(ASC(G133)),UPPER(LEFT(ASC(G133),SEARCH("-",ASC(G133),1)-1)))</f>
      </c>
      <c r="AY133" s="120" t="e">
        <f aca="true" t="shared" si="93" ref="AY133:AY196">IF(AW133="電","電",CONCATENATE(AQ133,AV133,AW133,AX133))</f>
        <v>#N/A</v>
      </c>
      <c r="AZ133" s="120" t="e">
        <f>VLOOKUP(AY133,'排出係数表'!$A$4:$C$202,2,FALSE)</f>
        <v>#N/A</v>
      </c>
      <c r="BA133" s="120" t="e">
        <f aca="true" t="shared" si="94" ref="BA133:BA196">IF(OR(AND(LEFT(AX133,1)="U",AX133&lt;&gt;"U"),AND(LEFT(AX133,1)="L",AX133&lt;&gt;"L"),AND(LEFT(AX133,1)="T",AX133&lt;&gt;"T"),AND(LEFT(AX133,1)="Z",AX133&lt;&gt;"Z"),AND(LEFT(AX133,1)="Y",AX133&lt;&gt;"Y"),AND(LEFT(AX133,1)="X",AX133&lt;&gt;"X")),1,LOOKUP(J133,燃料,$M$317:$M$333))</f>
        <v>#N/A</v>
      </c>
      <c r="BB133" s="120" t="e">
        <f>VLOOKUP(AY133,'排出係数表'!$A$4:$C$202,3,FALSE)</f>
        <v>#N/A</v>
      </c>
      <c r="BC133" s="120" t="e">
        <f aca="true" t="shared" si="95" ref="BC133:BC196">LOOKUP(J133,燃料,$N$317:$N$333)</f>
        <v>#N/A</v>
      </c>
      <c r="BD133" s="120">
        <f t="shared" si="76"/>
        <v>1</v>
      </c>
      <c r="BE133" s="122">
        <f aca="true" t="shared" si="96" ref="BE133:BE196">IF(OR(AL133="",AL133=0),"",C133&amp;LEFT(F133,1)&amp;AT133)</f>
      </c>
      <c r="BF133" s="123" t="e">
        <f t="shared" si="51"/>
        <v>#VALUE!</v>
      </c>
      <c r="BG133" s="122">
        <f t="shared" si="77"/>
      </c>
      <c r="BH133" s="120" t="e">
        <f t="shared" si="78"/>
        <v>#VALUE!</v>
      </c>
      <c r="BI133" s="120" t="e">
        <f t="shared" si="79"/>
        <v>#VALUE!</v>
      </c>
      <c r="BJ133" s="122" t="e">
        <f>VLOOKUP(AY133,'排出係数表'!$A$4:$D$202,4)</f>
        <v>#N/A</v>
      </c>
      <c r="BK133" s="257">
        <f t="shared" si="80"/>
      </c>
    </row>
    <row r="134" spans="1:63" s="124" customFormat="1" ht="13.5" customHeight="1">
      <c r="A134" s="120"/>
      <c r="B134" s="120"/>
      <c r="C134" s="155"/>
      <c r="D134" s="155"/>
      <c r="E134" s="155"/>
      <c r="F134" s="155"/>
      <c r="G134" s="156"/>
      <c r="H134" s="157"/>
      <c r="I134" s="155"/>
      <c r="J134" s="155"/>
      <c r="K134" s="158"/>
      <c r="L134" s="159"/>
      <c r="M134" s="244"/>
      <c r="N134" s="155"/>
      <c r="O134" s="345">
        <f aca="true" t="shared" si="97" ref="O134:O197">IF(ISBLANK(J134)=TRUE,"",IF(OR(AW134="メ",M134="有"),"要確認",IF(ISNUMBER(AZ134*BA134)=TRUE,AZ134*BA134,"要確認")))</f>
      </c>
      <c r="P134" s="345">
        <f t="shared" si="83"/>
      </c>
      <c r="Q134" s="508"/>
      <c r="R134" s="346"/>
      <c r="S134" s="347"/>
      <c r="T134" s="348"/>
      <c r="U134" s="347"/>
      <c r="V134" s="348"/>
      <c r="W134" s="347"/>
      <c r="X134" s="348"/>
      <c r="Y134" s="347"/>
      <c r="Z134" s="348"/>
      <c r="AA134" s="340" t="e">
        <f t="shared" si="84"/>
        <v>#N/A</v>
      </c>
      <c r="AB134" s="339">
        <f aca="true" t="shared" si="98" ref="AB134:AB197">IF(OR(AK134="",AK134=0),"",O134)</f>
      </c>
      <c r="AC134" s="339">
        <f aca="true" t="shared" si="99" ref="AC134:AC197">IF(P134="要確認",P134,IF(OR(AK134="",AK134=0),"",P134*BD134))</f>
      </c>
      <c r="AD134" s="255">
        <f aca="true" t="shared" si="100" ref="AD134:AD197">IF(AND(AK134=1,AJ134&lt;&gt;1),IF(AH134=14,R134,(IF(AH134=15,U134-S134,(IF(AH134=16,W134-U134,IF(AH134=17,Y134-W134,"")))))),"")</f>
      </c>
      <c r="AE134" s="256">
        <f aca="true" t="shared" si="101" ref="AE134:AE197">IF(O134="要確認","",IF(OR(AK134="",AK134=0,AJ134=1),"",O134*AS134*AD134/1000))</f>
      </c>
      <c r="AF134" s="256">
        <f aca="true" t="shared" si="102" ref="AF134:AF197">IF(P134="要確認","",IF(OR(AK134="",AK134=0,AJ134=1),"",P134*BD134*AS134*AD134/1000))</f>
      </c>
      <c r="AG134" s="255">
        <f aca="true" t="shared" si="103" ref="AG134:AG197">IF(J134="","",IF(OR(T134="新規",T134="新規廃止"),14,IF(OR(V134="新規",V134="新規廃止"),15,IF(OR(X134="新規",X134="新規廃止"),16,IF(OR(Z134="新規",Z134="新規廃止"),17,13)))))</f>
      </c>
      <c r="AH134" s="255">
        <f t="shared" si="85"/>
      </c>
      <c r="AI134" s="255">
        <f aca="true" t="shared" si="104" ref="AI134:AI197">IF(J134="","",IF(OR(T134="廃止",T134="新規廃止"),14,IF(OR(V134="廃止",V134="新規廃止"),15,IF(OR(X134="廃止",X134="新規廃止"),16,IF(OR(Z134="廃止",Z134="新規廃止"),17,18)))))</f>
      </c>
      <c r="AJ134" s="255">
        <f aca="true" t="shared" si="105" ref="AJ134:AJ197">IF(OR(AND(AH134=14,AK134=1,OR(R134="",S134="")),AND(AH134=15,AK134=1,OR(U134="",S134&gt;U134)),AND(AH134=16,AK134=1,OR(W134="",U134&gt;W134)),AND(AH134=17,AK134=1,OR(Y134="",W134&gt;Y134))),1,"")</f>
      </c>
      <c r="AK134" s="255">
        <f t="shared" si="86"/>
      </c>
      <c r="AL134" s="255">
        <f t="shared" si="87"/>
      </c>
      <c r="AM134" s="120">
        <f ca="1" t="shared" si="46"/>
        <v>0</v>
      </c>
      <c r="AN134" s="120" t="e">
        <f t="shared" si="88"/>
        <v>#N/A</v>
      </c>
      <c r="AO134" s="120">
        <f>ROWS($AO$4:AO134)-1</f>
        <v>130</v>
      </c>
      <c r="AP134" s="255" t="e">
        <f t="shared" si="82"/>
        <v>#N/A</v>
      </c>
      <c r="AQ134" s="120" t="e">
        <f t="shared" si="89"/>
        <v>#N/A</v>
      </c>
      <c r="AR134" s="120" t="e">
        <f t="shared" si="81"/>
        <v>#N/A</v>
      </c>
      <c r="AS134" s="121">
        <f t="shared" si="48"/>
        <v>1</v>
      </c>
      <c r="AT134" s="120" t="str">
        <f t="shared" si="49"/>
        <v> </v>
      </c>
      <c r="AU134" s="120" t="str">
        <f t="shared" si="50"/>
        <v> </v>
      </c>
      <c r="AV134" s="120" t="e">
        <f t="shared" si="90"/>
        <v>#N/A</v>
      </c>
      <c r="AW134" s="120" t="e">
        <f t="shared" si="91"/>
        <v>#N/A</v>
      </c>
      <c r="AX134" s="120">
        <f t="shared" si="92"/>
      </c>
      <c r="AY134" s="120" t="e">
        <f t="shared" si="93"/>
        <v>#N/A</v>
      </c>
      <c r="AZ134" s="120" t="e">
        <f>VLOOKUP(AY134,'排出係数表'!$A$4:$C$202,2,FALSE)</f>
        <v>#N/A</v>
      </c>
      <c r="BA134" s="120" t="e">
        <f t="shared" si="94"/>
        <v>#N/A</v>
      </c>
      <c r="BB134" s="120" t="e">
        <f>VLOOKUP(AY134,'排出係数表'!$A$4:$C$202,3,FALSE)</f>
        <v>#N/A</v>
      </c>
      <c r="BC134" s="120" t="e">
        <f t="shared" si="95"/>
        <v>#N/A</v>
      </c>
      <c r="BD134" s="120">
        <f aca="true" t="shared" si="106" ref="BD134:BD197">IF(ISBLANK(N134),1,IF(RIGHT(LEFT($F$1,4),2)&gt;=LEFT(N134,2),(IF(ISERROR(VLOOKUP(AX134,$H$307:$I$327,2,FALSE)),0.7,VLOOKUP(AX134,$H$307:$I$327,2,FALSE))),1))</f>
        <v>1</v>
      </c>
      <c r="BE134" s="122">
        <f t="shared" si="96"/>
      </c>
      <c r="BF134" s="123" t="e">
        <f t="shared" si="51"/>
        <v>#VALUE!</v>
      </c>
      <c r="BG134" s="122">
        <f t="shared" si="77"/>
      </c>
      <c r="BH134" s="120" t="e">
        <f t="shared" si="78"/>
        <v>#VALUE!</v>
      </c>
      <c r="BI134" s="120" t="e">
        <f t="shared" si="79"/>
        <v>#VALUE!</v>
      </c>
      <c r="BJ134" s="122" t="e">
        <f>VLOOKUP(AY134,'排出係数表'!$A$4:$D$202,4)</f>
        <v>#N/A</v>
      </c>
      <c r="BK134" s="257">
        <f t="shared" si="80"/>
      </c>
    </row>
    <row r="135" spans="1:63" s="124" customFormat="1" ht="13.5" customHeight="1">
      <c r="A135" s="120"/>
      <c r="B135" s="120"/>
      <c r="C135" s="155"/>
      <c r="D135" s="155"/>
      <c r="E135" s="155"/>
      <c r="F135" s="155"/>
      <c r="G135" s="156"/>
      <c r="H135" s="157"/>
      <c r="I135" s="155"/>
      <c r="J135" s="155"/>
      <c r="K135" s="158"/>
      <c r="L135" s="159"/>
      <c r="M135" s="244"/>
      <c r="N135" s="155"/>
      <c r="O135" s="345">
        <f t="shared" si="97"/>
      </c>
      <c r="P135" s="345">
        <f t="shared" si="83"/>
      </c>
      <c r="Q135" s="508"/>
      <c r="R135" s="346"/>
      <c r="S135" s="347"/>
      <c r="T135" s="348"/>
      <c r="U135" s="347"/>
      <c r="V135" s="348"/>
      <c r="W135" s="347"/>
      <c r="X135" s="348"/>
      <c r="Y135" s="347"/>
      <c r="Z135" s="348"/>
      <c r="AA135" s="340" t="e">
        <f t="shared" si="84"/>
        <v>#N/A</v>
      </c>
      <c r="AB135" s="339">
        <f t="shared" si="98"/>
      </c>
      <c r="AC135" s="339">
        <f t="shared" si="99"/>
      </c>
      <c r="AD135" s="255">
        <f t="shared" si="100"/>
      </c>
      <c r="AE135" s="256">
        <f t="shared" si="101"/>
      </c>
      <c r="AF135" s="256">
        <f t="shared" si="102"/>
      </c>
      <c r="AG135" s="255">
        <f t="shared" si="103"/>
      </c>
      <c r="AH135" s="255">
        <f t="shared" si="85"/>
      </c>
      <c r="AI135" s="255">
        <f t="shared" si="104"/>
      </c>
      <c r="AJ135" s="255">
        <f t="shared" si="105"/>
      </c>
      <c r="AK135" s="255">
        <f t="shared" si="86"/>
      </c>
      <c r="AL135" s="255">
        <f t="shared" si="87"/>
      </c>
      <c r="AM135" s="120">
        <f ca="1" t="shared" si="46"/>
        <v>0</v>
      </c>
      <c r="AN135" s="120" t="e">
        <f t="shared" si="88"/>
        <v>#N/A</v>
      </c>
      <c r="AO135" s="120">
        <f>ROWS($AO$4:AO135)-1</f>
        <v>131</v>
      </c>
      <c r="AP135" s="255" t="e">
        <f t="shared" si="82"/>
        <v>#N/A</v>
      </c>
      <c r="AQ135" s="120" t="e">
        <f t="shared" si="89"/>
        <v>#N/A</v>
      </c>
      <c r="AR135" s="120" t="e">
        <f t="shared" si="81"/>
        <v>#N/A</v>
      </c>
      <c r="AS135" s="121">
        <f t="shared" si="48"/>
        <v>1</v>
      </c>
      <c r="AT135" s="120" t="str">
        <f t="shared" si="49"/>
        <v> </v>
      </c>
      <c r="AU135" s="120" t="str">
        <f t="shared" si="50"/>
        <v> </v>
      </c>
      <c r="AV135" s="120" t="e">
        <f t="shared" si="90"/>
        <v>#N/A</v>
      </c>
      <c r="AW135" s="120" t="e">
        <f t="shared" si="91"/>
        <v>#N/A</v>
      </c>
      <c r="AX135" s="120">
        <f t="shared" si="92"/>
      </c>
      <c r="AY135" s="120" t="e">
        <f t="shared" si="93"/>
        <v>#N/A</v>
      </c>
      <c r="AZ135" s="120" t="e">
        <f>VLOOKUP(AY135,'排出係数表'!$A$4:$C$202,2,FALSE)</f>
        <v>#N/A</v>
      </c>
      <c r="BA135" s="120" t="e">
        <f t="shared" si="94"/>
        <v>#N/A</v>
      </c>
      <c r="BB135" s="120" t="e">
        <f>VLOOKUP(AY135,'排出係数表'!$A$4:$C$202,3,FALSE)</f>
        <v>#N/A</v>
      </c>
      <c r="BC135" s="120" t="e">
        <f t="shared" si="95"/>
        <v>#N/A</v>
      </c>
      <c r="BD135" s="120">
        <f t="shared" si="106"/>
        <v>1</v>
      </c>
      <c r="BE135" s="122">
        <f t="shared" si="96"/>
      </c>
      <c r="BF135" s="123" t="e">
        <f t="shared" si="51"/>
        <v>#VALUE!</v>
      </c>
      <c r="BG135" s="122">
        <f t="shared" si="77"/>
      </c>
      <c r="BH135" s="120" t="e">
        <f t="shared" si="78"/>
        <v>#VALUE!</v>
      </c>
      <c r="BI135" s="120" t="e">
        <f t="shared" si="79"/>
        <v>#VALUE!</v>
      </c>
      <c r="BJ135" s="122" t="e">
        <f>VLOOKUP(AY135,'排出係数表'!$A$4:$D$202,4)</f>
        <v>#N/A</v>
      </c>
      <c r="BK135" s="257">
        <f t="shared" si="80"/>
      </c>
    </row>
    <row r="136" spans="1:63" s="124" customFormat="1" ht="13.5" customHeight="1">
      <c r="A136" s="120"/>
      <c r="B136" s="120"/>
      <c r="C136" s="155"/>
      <c r="D136" s="155"/>
      <c r="E136" s="155"/>
      <c r="F136" s="155"/>
      <c r="G136" s="156"/>
      <c r="H136" s="157"/>
      <c r="I136" s="155"/>
      <c r="J136" s="155"/>
      <c r="K136" s="158"/>
      <c r="L136" s="159"/>
      <c r="M136" s="244"/>
      <c r="N136" s="155"/>
      <c r="O136" s="345">
        <f t="shared" si="97"/>
      </c>
      <c r="P136" s="345">
        <f t="shared" si="83"/>
      </c>
      <c r="Q136" s="508"/>
      <c r="R136" s="346"/>
      <c r="S136" s="347"/>
      <c r="T136" s="348"/>
      <c r="U136" s="347"/>
      <c r="V136" s="348"/>
      <c r="W136" s="347"/>
      <c r="X136" s="348"/>
      <c r="Y136" s="347"/>
      <c r="Z136" s="348"/>
      <c r="AA136" s="340" t="e">
        <f t="shared" si="84"/>
        <v>#N/A</v>
      </c>
      <c r="AB136" s="339">
        <f t="shared" si="98"/>
      </c>
      <c r="AC136" s="339">
        <f t="shared" si="99"/>
      </c>
      <c r="AD136" s="255">
        <f t="shared" si="100"/>
      </c>
      <c r="AE136" s="256">
        <f t="shared" si="101"/>
      </c>
      <c r="AF136" s="256">
        <f t="shared" si="102"/>
      </c>
      <c r="AG136" s="255">
        <f t="shared" si="103"/>
      </c>
      <c r="AH136" s="255">
        <f t="shared" si="85"/>
      </c>
      <c r="AI136" s="255">
        <f t="shared" si="104"/>
      </c>
      <c r="AJ136" s="255">
        <f t="shared" si="105"/>
      </c>
      <c r="AK136" s="255">
        <f t="shared" si="86"/>
      </c>
      <c r="AL136" s="255">
        <f t="shared" si="87"/>
      </c>
      <c r="AM136" s="120">
        <f ca="1" t="shared" si="46"/>
        <v>0</v>
      </c>
      <c r="AN136" s="120" t="e">
        <f t="shared" si="88"/>
        <v>#N/A</v>
      </c>
      <c r="AO136" s="120">
        <f>ROWS($AO$4:AO136)-1</f>
        <v>132</v>
      </c>
      <c r="AP136" s="255" t="e">
        <f t="shared" si="82"/>
        <v>#N/A</v>
      </c>
      <c r="AQ136" s="120" t="e">
        <f t="shared" si="89"/>
        <v>#N/A</v>
      </c>
      <c r="AR136" s="120" t="e">
        <f t="shared" si="81"/>
        <v>#N/A</v>
      </c>
      <c r="AS136" s="121">
        <f t="shared" si="48"/>
        <v>1</v>
      </c>
      <c r="AT136" s="120" t="str">
        <f t="shared" si="49"/>
        <v> </v>
      </c>
      <c r="AU136" s="120" t="str">
        <f t="shared" si="50"/>
        <v> </v>
      </c>
      <c r="AV136" s="120" t="e">
        <f t="shared" si="90"/>
        <v>#N/A</v>
      </c>
      <c r="AW136" s="120" t="e">
        <f t="shared" si="91"/>
        <v>#N/A</v>
      </c>
      <c r="AX136" s="120">
        <f t="shared" si="92"/>
      </c>
      <c r="AY136" s="120" t="e">
        <f t="shared" si="93"/>
        <v>#N/A</v>
      </c>
      <c r="AZ136" s="120" t="e">
        <f>VLOOKUP(AY136,'排出係数表'!$A$4:$C$202,2,FALSE)</f>
        <v>#N/A</v>
      </c>
      <c r="BA136" s="120" t="e">
        <f t="shared" si="94"/>
        <v>#N/A</v>
      </c>
      <c r="BB136" s="120" t="e">
        <f>VLOOKUP(AY136,'排出係数表'!$A$4:$C$202,3,FALSE)</f>
        <v>#N/A</v>
      </c>
      <c r="BC136" s="120" t="e">
        <f t="shared" si="95"/>
        <v>#N/A</v>
      </c>
      <c r="BD136" s="120">
        <f t="shared" si="106"/>
        <v>1</v>
      </c>
      <c r="BE136" s="122">
        <f t="shared" si="96"/>
      </c>
      <c r="BF136" s="123" t="e">
        <f t="shared" si="51"/>
        <v>#VALUE!</v>
      </c>
      <c r="BG136" s="122">
        <f t="shared" si="77"/>
      </c>
      <c r="BH136" s="120" t="e">
        <f t="shared" si="78"/>
        <v>#VALUE!</v>
      </c>
      <c r="BI136" s="120" t="e">
        <f t="shared" si="79"/>
        <v>#VALUE!</v>
      </c>
      <c r="BJ136" s="122" t="e">
        <f>VLOOKUP(AY136,'排出係数表'!$A$4:$D$202,4)</f>
        <v>#N/A</v>
      </c>
      <c r="BK136" s="257">
        <f t="shared" si="80"/>
      </c>
    </row>
    <row r="137" spans="1:63" s="124" customFormat="1" ht="13.5" customHeight="1">
      <c r="A137" s="120"/>
      <c r="B137" s="120"/>
      <c r="C137" s="155"/>
      <c r="D137" s="155"/>
      <c r="E137" s="155"/>
      <c r="F137" s="155"/>
      <c r="G137" s="156"/>
      <c r="H137" s="157"/>
      <c r="I137" s="155"/>
      <c r="J137" s="155"/>
      <c r="K137" s="158"/>
      <c r="L137" s="159"/>
      <c r="M137" s="244"/>
      <c r="N137" s="155"/>
      <c r="O137" s="345">
        <f t="shared" si="97"/>
      </c>
      <c r="P137" s="345">
        <f t="shared" si="83"/>
      </c>
      <c r="Q137" s="508"/>
      <c r="R137" s="346"/>
      <c r="S137" s="347"/>
      <c r="T137" s="348"/>
      <c r="U137" s="347"/>
      <c r="V137" s="348"/>
      <c r="W137" s="347"/>
      <c r="X137" s="348"/>
      <c r="Y137" s="347"/>
      <c r="Z137" s="348"/>
      <c r="AA137" s="340" t="e">
        <f t="shared" si="84"/>
        <v>#N/A</v>
      </c>
      <c r="AB137" s="339">
        <f t="shared" si="98"/>
      </c>
      <c r="AC137" s="339">
        <f t="shared" si="99"/>
      </c>
      <c r="AD137" s="255">
        <f t="shared" si="100"/>
      </c>
      <c r="AE137" s="256">
        <f t="shared" si="101"/>
      </c>
      <c r="AF137" s="256">
        <f t="shared" si="102"/>
      </c>
      <c r="AG137" s="255">
        <f t="shared" si="103"/>
      </c>
      <c r="AH137" s="255">
        <f t="shared" si="85"/>
      </c>
      <c r="AI137" s="255">
        <f t="shared" si="104"/>
      </c>
      <c r="AJ137" s="255">
        <f t="shared" si="105"/>
      </c>
      <c r="AK137" s="255">
        <f t="shared" si="86"/>
      </c>
      <c r="AL137" s="255">
        <f t="shared" si="87"/>
      </c>
      <c r="AM137" s="120">
        <f ca="1" t="shared" si="46"/>
        <v>0</v>
      </c>
      <c r="AN137" s="120" t="e">
        <f t="shared" si="88"/>
        <v>#N/A</v>
      </c>
      <c r="AO137" s="120">
        <f>ROWS($AO$4:AO137)-1</f>
        <v>133</v>
      </c>
      <c r="AP137" s="255" t="e">
        <f t="shared" si="82"/>
        <v>#N/A</v>
      </c>
      <c r="AQ137" s="120" t="e">
        <f t="shared" si="89"/>
        <v>#N/A</v>
      </c>
      <c r="AR137" s="120" t="e">
        <f t="shared" si="81"/>
        <v>#N/A</v>
      </c>
      <c r="AS137" s="121">
        <f t="shared" si="48"/>
        <v>1</v>
      </c>
      <c r="AT137" s="120" t="str">
        <f t="shared" si="49"/>
        <v> </v>
      </c>
      <c r="AU137" s="120" t="str">
        <f t="shared" si="50"/>
        <v> </v>
      </c>
      <c r="AV137" s="120" t="e">
        <f t="shared" si="90"/>
        <v>#N/A</v>
      </c>
      <c r="AW137" s="120" t="e">
        <f t="shared" si="91"/>
        <v>#N/A</v>
      </c>
      <c r="AX137" s="120">
        <f t="shared" si="92"/>
      </c>
      <c r="AY137" s="120" t="e">
        <f t="shared" si="93"/>
        <v>#N/A</v>
      </c>
      <c r="AZ137" s="120" t="e">
        <f>VLOOKUP(AY137,'排出係数表'!$A$4:$C$202,2,FALSE)</f>
        <v>#N/A</v>
      </c>
      <c r="BA137" s="120" t="e">
        <f t="shared" si="94"/>
        <v>#N/A</v>
      </c>
      <c r="BB137" s="120" t="e">
        <f>VLOOKUP(AY137,'排出係数表'!$A$4:$C$202,3,FALSE)</f>
        <v>#N/A</v>
      </c>
      <c r="BC137" s="120" t="e">
        <f t="shared" si="95"/>
        <v>#N/A</v>
      </c>
      <c r="BD137" s="120">
        <f t="shared" si="106"/>
        <v>1</v>
      </c>
      <c r="BE137" s="122">
        <f t="shared" si="96"/>
      </c>
      <c r="BF137" s="123" t="e">
        <f t="shared" si="51"/>
        <v>#VALUE!</v>
      </c>
      <c r="BG137" s="122">
        <f t="shared" si="77"/>
      </c>
      <c r="BH137" s="120" t="e">
        <f t="shared" si="78"/>
        <v>#VALUE!</v>
      </c>
      <c r="BI137" s="120" t="e">
        <f t="shared" si="79"/>
        <v>#VALUE!</v>
      </c>
      <c r="BJ137" s="122" t="e">
        <f>VLOOKUP(AY137,'排出係数表'!$A$4:$D$202,4)</f>
        <v>#N/A</v>
      </c>
      <c r="BK137" s="257">
        <f t="shared" si="80"/>
      </c>
    </row>
    <row r="138" spans="1:63" s="124" customFormat="1" ht="13.5" customHeight="1">
      <c r="A138" s="120"/>
      <c r="B138" s="120"/>
      <c r="C138" s="155"/>
      <c r="D138" s="155"/>
      <c r="E138" s="155"/>
      <c r="F138" s="155"/>
      <c r="G138" s="156"/>
      <c r="H138" s="157"/>
      <c r="I138" s="155"/>
      <c r="J138" s="155"/>
      <c r="K138" s="158"/>
      <c r="L138" s="159"/>
      <c r="M138" s="244"/>
      <c r="N138" s="155"/>
      <c r="O138" s="345">
        <f t="shared" si="97"/>
      </c>
      <c r="P138" s="345">
        <f t="shared" si="83"/>
      </c>
      <c r="Q138" s="508"/>
      <c r="R138" s="346"/>
      <c r="S138" s="347"/>
      <c r="T138" s="348"/>
      <c r="U138" s="347"/>
      <c r="V138" s="348"/>
      <c r="W138" s="347"/>
      <c r="X138" s="348"/>
      <c r="Y138" s="347"/>
      <c r="Z138" s="348"/>
      <c r="AA138" s="340" t="e">
        <f t="shared" si="84"/>
        <v>#N/A</v>
      </c>
      <c r="AB138" s="339">
        <f t="shared" si="98"/>
      </c>
      <c r="AC138" s="339">
        <f t="shared" si="99"/>
      </c>
      <c r="AD138" s="255">
        <f t="shared" si="100"/>
      </c>
      <c r="AE138" s="256">
        <f t="shared" si="101"/>
      </c>
      <c r="AF138" s="256">
        <f t="shared" si="102"/>
      </c>
      <c r="AG138" s="255">
        <f t="shared" si="103"/>
      </c>
      <c r="AH138" s="255">
        <f t="shared" si="85"/>
      </c>
      <c r="AI138" s="255">
        <f t="shared" si="104"/>
      </c>
      <c r="AJ138" s="255">
        <f t="shared" si="105"/>
      </c>
      <c r="AK138" s="255">
        <f t="shared" si="86"/>
      </c>
      <c r="AL138" s="255">
        <f t="shared" si="87"/>
      </c>
      <c r="AM138" s="120">
        <f ca="1" t="shared" si="46"/>
        <v>0</v>
      </c>
      <c r="AN138" s="120" t="e">
        <f t="shared" si="88"/>
        <v>#N/A</v>
      </c>
      <c r="AO138" s="120">
        <f>ROWS($AO$4:AO138)-1</f>
        <v>134</v>
      </c>
      <c r="AP138" s="255" t="e">
        <f t="shared" si="82"/>
        <v>#N/A</v>
      </c>
      <c r="AQ138" s="120" t="e">
        <f t="shared" si="89"/>
        <v>#N/A</v>
      </c>
      <c r="AR138" s="120" t="e">
        <f t="shared" si="81"/>
        <v>#N/A</v>
      </c>
      <c r="AS138" s="121">
        <f t="shared" si="48"/>
        <v>1</v>
      </c>
      <c r="AT138" s="120" t="str">
        <f t="shared" si="49"/>
        <v> </v>
      </c>
      <c r="AU138" s="120" t="str">
        <f t="shared" si="50"/>
        <v> </v>
      </c>
      <c r="AV138" s="120" t="e">
        <f t="shared" si="90"/>
        <v>#N/A</v>
      </c>
      <c r="AW138" s="120" t="e">
        <f t="shared" si="91"/>
        <v>#N/A</v>
      </c>
      <c r="AX138" s="120">
        <f t="shared" si="92"/>
      </c>
      <c r="AY138" s="120" t="e">
        <f t="shared" si="93"/>
        <v>#N/A</v>
      </c>
      <c r="AZ138" s="120" t="e">
        <f>VLOOKUP(AY138,'排出係数表'!$A$4:$C$202,2,FALSE)</f>
        <v>#N/A</v>
      </c>
      <c r="BA138" s="120" t="e">
        <f t="shared" si="94"/>
        <v>#N/A</v>
      </c>
      <c r="BB138" s="120" t="e">
        <f>VLOOKUP(AY138,'排出係数表'!$A$4:$C$202,3,FALSE)</f>
        <v>#N/A</v>
      </c>
      <c r="BC138" s="120" t="e">
        <f t="shared" si="95"/>
        <v>#N/A</v>
      </c>
      <c r="BD138" s="120">
        <f t="shared" si="106"/>
        <v>1</v>
      </c>
      <c r="BE138" s="122">
        <f t="shared" si="96"/>
      </c>
      <c r="BF138" s="123" t="e">
        <f t="shared" si="51"/>
        <v>#VALUE!</v>
      </c>
      <c r="BG138" s="122">
        <f t="shared" si="77"/>
      </c>
      <c r="BH138" s="120" t="e">
        <f t="shared" si="78"/>
        <v>#VALUE!</v>
      </c>
      <c r="BI138" s="120" t="e">
        <f t="shared" si="79"/>
        <v>#VALUE!</v>
      </c>
      <c r="BJ138" s="122" t="e">
        <f>VLOOKUP(AY138,'排出係数表'!$A$4:$D$202,4)</f>
        <v>#N/A</v>
      </c>
      <c r="BK138" s="257">
        <f t="shared" si="80"/>
      </c>
    </row>
    <row r="139" spans="1:63" s="124" customFormat="1" ht="13.5" customHeight="1">
      <c r="A139" s="120"/>
      <c r="B139" s="120"/>
      <c r="C139" s="155"/>
      <c r="D139" s="155"/>
      <c r="E139" s="155"/>
      <c r="F139" s="155"/>
      <c r="G139" s="156"/>
      <c r="H139" s="157"/>
      <c r="I139" s="155"/>
      <c r="J139" s="155"/>
      <c r="K139" s="158"/>
      <c r="L139" s="159"/>
      <c r="M139" s="244"/>
      <c r="N139" s="155"/>
      <c r="O139" s="345">
        <f t="shared" si="97"/>
      </c>
      <c r="P139" s="345">
        <f t="shared" si="83"/>
      </c>
      <c r="Q139" s="508"/>
      <c r="R139" s="346"/>
      <c r="S139" s="347"/>
      <c r="T139" s="348"/>
      <c r="U139" s="347"/>
      <c r="V139" s="348"/>
      <c r="W139" s="347"/>
      <c r="X139" s="348"/>
      <c r="Y139" s="347"/>
      <c r="Z139" s="348"/>
      <c r="AA139" s="340" t="e">
        <f t="shared" si="84"/>
        <v>#N/A</v>
      </c>
      <c r="AB139" s="339">
        <f t="shared" si="98"/>
      </c>
      <c r="AC139" s="339">
        <f t="shared" si="99"/>
      </c>
      <c r="AD139" s="255">
        <f t="shared" si="100"/>
      </c>
      <c r="AE139" s="256">
        <f t="shared" si="101"/>
      </c>
      <c r="AF139" s="256">
        <f t="shared" si="102"/>
      </c>
      <c r="AG139" s="255">
        <f t="shared" si="103"/>
      </c>
      <c r="AH139" s="255">
        <f t="shared" si="85"/>
      </c>
      <c r="AI139" s="255">
        <f t="shared" si="104"/>
      </c>
      <c r="AJ139" s="255">
        <f t="shared" si="105"/>
      </c>
      <c r="AK139" s="255">
        <f t="shared" si="86"/>
      </c>
      <c r="AL139" s="255">
        <f t="shared" si="87"/>
      </c>
      <c r="AM139" s="120">
        <f ca="1" t="shared" si="46"/>
        <v>0</v>
      </c>
      <c r="AN139" s="120" t="e">
        <f t="shared" si="88"/>
        <v>#N/A</v>
      </c>
      <c r="AO139" s="120">
        <f>ROWS($AO$4:AO139)-1</f>
        <v>135</v>
      </c>
      <c r="AP139" s="255" t="e">
        <f t="shared" si="82"/>
        <v>#N/A</v>
      </c>
      <c r="AQ139" s="120" t="e">
        <f t="shared" si="89"/>
        <v>#N/A</v>
      </c>
      <c r="AR139" s="120" t="e">
        <f t="shared" si="81"/>
        <v>#N/A</v>
      </c>
      <c r="AS139" s="121">
        <f t="shared" si="48"/>
        <v>1</v>
      </c>
      <c r="AT139" s="120" t="str">
        <f t="shared" si="49"/>
        <v> </v>
      </c>
      <c r="AU139" s="120" t="str">
        <f t="shared" si="50"/>
        <v> </v>
      </c>
      <c r="AV139" s="120" t="e">
        <f t="shared" si="90"/>
        <v>#N/A</v>
      </c>
      <c r="AW139" s="120" t="e">
        <f t="shared" si="91"/>
        <v>#N/A</v>
      </c>
      <c r="AX139" s="120">
        <f t="shared" si="92"/>
      </c>
      <c r="AY139" s="120" t="e">
        <f t="shared" si="93"/>
        <v>#N/A</v>
      </c>
      <c r="AZ139" s="120" t="e">
        <f>VLOOKUP(AY139,'排出係数表'!$A$4:$C$202,2,FALSE)</f>
        <v>#N/A</v>
      </c>
      <c r="BA139" s="120" t="e">
        <f t="shared" si="94"/>
        <v>#N/A</v>
      </c>
      <c r="BB139" s="120" t="e">
        <f>VLOOKUP(AY139,'排出係数表'!$A$4:$C$202,3,FALSE)</f>
        <v>#N/A</v>
      </c>
      <c r="BC139" s="120" t="e">
        <f t="shared" si="95"/>
        <v>#N/A</v>
      </c>
      <c r="BD139" s="120">
        <f t="shared" si="106"/>
        <v>1</v>
      </c>
      <c r="BE139" s="122">
        <f t="shared" si="96"/>
      </c>
      <c r="BF139" s="123" t="e">
        <f t="shared" si="51"/>
        <v>#VALUE!</v>
      </c>
      <c r="BG139" s="122">
        <f t="shared" si="77"/>
      </c>
      <c r="BH139" s="120" t="e">
        <f t="shared" si="78"/>
        <v>#VALUE!</v>
      </c>
      <c r="BI139" s="120" t="e">
        <f t="shared" si="79"/>
        <v>#VALUE!</v>
      </c>
      <c r="BJ139" s="122" t="e">
        <f>VLOOKUP(AY139,'排出係数表'!$A$4:$D$202,4)</f>
        <v>#N/A</v>
      </c>
      <c r="BK139" s="257">
        <f t="shared" si="80"/>
      </c>
    </row>
    <row r="140" spans="1:63" s="124" customFormat="1" ht="13.5" customHeight="1">
      <c r="A140" s="120"/>
      <c r="B140" s="120"/>
      <c r="C140" s="155"/>
      <c r="D140" s="155"/>
      <c r="E140" s="155"/>
      <c r="F140" s="155"/>
      <c r="G140" s="156"/>
      <c r="H140" s="157"/>
      <c r="I140" s="155"/>
      <c r="J140" s="155"/>
      <c r="K140" s="158"/>
      <c r="L140" s="159"/>
      <c r="M140" s="244"/>
      <c r="N140" s="155"/>
      <c r="O140" s="345">
        <f t="shared" si="97"/>
      </c>
      <c r="P140" s="345">
        <f t="shared" si="83"/>
      </c>
      <c r="Q140" s="508"/>
      <c r="R140" s="346"/>
      <c r="S140" s="347"/>
      <c r="T140" s="348"/>
      <c r="U140" s="347"/>
      <c r="V140" s="348"/>
      <c r="W140" s="347"/>
      <c r="X140" s="348"/>
      <c r="Y140" s="347"/>
      <c r="Z140" s="348"/>
      <c r="AA140" s="340" t="e">
        <f t="shared" si="84"/>
        <v>#N/A</v>
      </c>
      <c r="AB140" s="339">
        <f t="shared" si="98"/>
      </c>
      <c r="AC140" s="339">
        <f t="shared" si="99"/>
      </c>
      <c r="AD140" s="255">
        <f t="shared" si="100"/>
      </c>
      <c r="AE140" s="256">
        <f t="shared" si="101"/>
      </c>
      <c r="AF140" s="256">
        <f t="shared" si="102"/>
      </c>
      <c r="AG140" s="255">
        <f t="shared" si="103"/>
      </c>
      <c r="AH140" s="255">
        <f t="shared" si="85"/>
      </c>
      <c r="AI140" s="255">
        <f t="shared" si="104"/>
      </c>
      <c r="AJ140" s="255">
        <f t="shared" si="105"/>
      </c>
      <c r="AK140" s="255">
        <f t="shared" si="86"/>
      </c>
      <c r="AL140" s="255">
        <f t="shared" si="87"/>
      </c>
      <c r="AM140" s="120">
        <f ca="1" t="shared" si="46"/>
        <v>0</v>
      </c>
      <c r="AN140" s="120" t="e">
        <f t="shared" si="88"/>
        <v>#N/A</v>
      </c>
      <c r="AO140" s="120">
        <f>ROWS($AO$4:AO140)-1</f>
        <v>136</v>
      </c>
      <c r="AP140" s="255" t="e">
        <f t="shared" si="82"/>
        <v>#N/A</v>
      </c>
      <c r="AQ140" s="120" t="e">
        <f t="shared" si="89"/>
        <v>#N/A</v>
      </c>
      <c r="AR140" s="120" t="e">
        <f t="shared" si="81"/>
        <v>#N/A</v>
      </c>
      <c r="AS140" s="121">
        <f t="shared" si="48"/>
        <v>1</v>
      </c>
      <c r="AT140" s="120" t="str">
        <f t="shared" si="49"/>
        <v> </v>
      </c>
      <c r="AU140" s="120" t="str">
        <f t="shared" si="50"/>
        <v> </v>
      </c>
      <c r="AV140" s="120" t="e">
        <f t="shared" si="90"/>
        <v>#N/A</v>
      </c>
      <c r="AW140" s="120" t="e">
        <f t="shared" si="91"/>
        <v>#N/A</v>
      </c>
      <c r="AX140" s="120">
        <f t="shared" si="92"/>
      </c>
      <c r="AY140" s="120" t="e">
        <f t="shared" si="93"/>
        <v>#N/A</v>
      </c>
      <c r="AZ140" s="120" t="e">
        <f>VLOOKUP(AY140,'排出係数表'!$A$4:$C$202,2,FALSE)</f>
        <v>#N/A</v>
      </c>
      <c r="BA140" s="120" t="e">
        <f t="shared" si="94"/>
        <v>#N/A</v>
      </c>
      <c r="BB140" s="120" t="e">
        <f>VLOOKUP(AY140,'排出係数表'!$A$4:$C$202,3,FALSE)</f>
        <v>#N/A</v>
      </c>
      <c r="BC140" s="120" t="e">
        <f t="shared" si="95"/>
        <v>#N/A</v>
      </c>
      <c r="BD140" s="120">
        <f t="shared" si="106"/>
        <v>1</v>
      </c>
      <c r="BE140" s="122">
        <f t="shared" si="96"/>
      </c>
      <c r="BF140" s="123" t="e">
        <f t="shared" si="51"/>
        <v>#VALUE!</v>
      </c>
      <c r="BG140" s="122">
        <f t="shared" si="77"/>
      </c>
      <c r="BH140" s="120" t="e">
        <f t="shared" si="78"/>
        <v>#VALUE!</v>
      </c>
      <c r="BI140" s="120" t="e">
        <f t="shared" si="79"/>
        <v>#VALUE!</v>
      </c>
      <c r="BJ140" s="122" t="e">
        <f>VLOOKUP(AY140,'排出係数表'!$A$4:$D$202,4)</f>
        <v>#N/A</v>
      </c>
      <c r="BK140" s="257">
        <f t="shared" si="80"/>
      </c>
    </row>
    <row r="141" spans="1:63" s="124" customFormat="1" ht="13.5" customHeight="1">
      <c r="A141" s="120"/>
      <c r="B141" s="120"/>
      <c r="C141" s="155"/>
      <c r="D141" s="155"/>
      <c r="E141" s="155"/>
      <c r="F141" s="155"/>
      <c r="G141" s="156"/>
      <c r="H141" s="157"/>
      <c r="I141" s="155"/>
      <c r="J141" s="155"/>
      <c r="K141" s="158"/>
      <c r="L141" s="159"/>
      <c r="M141" s="244"/>
      <c r="N141" s="155"/>
      <c r="O141" s="345">
        <f t="shared" si="97"/>
      </c>
      <c r="P141" s="345">
        <f t="shared" si="83"/>
      </c>
      <c r="Q141" s="508"/>
      <c r="R141" s="346"/>
      <c r="S141" s="347"/>
      <c r="T141" s="348"/>
      <c r="U141" s="347"/>
      <c r="V141" s="348"/>
      <c r="W141" s="347"/>
      <c r="X141" s="348"/>
      <c r="Y141" s="347"/>
      <c r="Z141" s="348"/>
      <c r="AA141" s="340" t="e">
        <f t="shared" si="84"/>
        <v>#N/A</v>
      </c>
      <c r="AB141" s="339">
        <f t="shared" si="98"/>
      </c>
      <c r="AC141" s="339">
        <f t="shared" si="99"/>
      </c>
      <c r="AD141" s="255">
        <f t="shared" si="100"/>
      </c>
      <c r="AE141" s="256">
        <f t="shared" si="101"/>
      </c>
      <c r="AF141" s="256">
        <f t="shared" si="102"/>
      </c>
      <c r="AG141" s="255">
        <f t="shared" si="103"/>
      </c>
      <c r="AH141" s="255">
        <f t="shared" si="85"/>
      </c>
      <c r="AI141" s="255">
        <f t="shared" si="104"/>
      </c>
      <c r="AJ141" s="255">
        <f t="shared" si="105"/>
      </c>
      <c r="AK141" s="255">
        <f t="shared" si="86"/>
      </c>
      <c r="AL141" s="255">
        <f t="shared" si="87"/>
      </c>
      <c r="AM141" s="120">
        <f ca="1" t="shared" si="46"/>
        <v>0</v>
      </c>
      <c r="AN141" s="120" t="e">
        <f t="shared" si="88"/>
        <v>#N/A</v>
      </c>
      <c r="AO141" s="120">
        <f>ROWS($AO$4:AO141)-1</f>
        <v>137</v>
      </c>
      <c r="AP141" s="255" t="e">
        <f t="shared" si="82"/>
        <v>#N/A</v>
      </c>
      <c r="AQ141" s="120" t="e">
        <f t="shared" si="89"/>
        <v>#N/A</v>
      </c>
      <c r="AR141" s="120" t="e">
        <f t="shared" si="81"/>
        <v>#N/A</v>
      </c>
      <c r="AS141" s="121">
        <f t="shared" si="48"/>
        <v>1</v>
      </c>
      <c r="AT141" s="120" t="str">
        <f t="shared" si="49"/>
        <v> </v>
      </c>
      <c r="AU141" s="120" t="str">
        <f t="shared" si="50"/>
        <v> </v>
      </c>
      <c r="AV141" s="120" t="e">
        <f t="shared" si="90"/>
        <v>#N/A</v>
      </c>
      <c r="AW141" s="120" t="e">
        <f t="shared" si="91"/>
        <v>#N/A</v>
      </c>
      <c r="AX141" s="120">
        <f t="shared" si="92"/>
      </c>
      <c r="AY141" s="120" t="e">
        <f t="shared" si="93"/>
        <v>#N/A</v>
      </c>
      <c r="AZ141" s="120" t="e">
        <f>VLOOKUP(AY141,'排出係数表'!$A$4:$C$202,2,FALSE)</f>
        <v>#N/A</v>
      </c>
      <c r="BA141" s="120" t="e">
        <f t="shared" si="94"/>
        <v>#N/A</v>
      </c>
      <c r="BB141" s="120" t="e">
        <f>VLOOKUP(AY141,'排出係数表'!$A$4:$C$202,3,FALSE)</f>
        <v>#N/A</v>
      </c>
      <c r="BC141" s="120" t="e">
        <f t="shared" si="95"/>
        <v>#N/A</v>
      </c>
      <c r="BD141" s="120">
        <f t="shared" si="106"/>
        <v>1</v>
      </c>
      <c r="BE141" s="122">
        <f t="shared" si="96"/>
      </c>
      <c r="BF141" s="123" t="e">
        <f t="shared" si="51"/>
        <v>#VALUE!</v>
      </c>
      <c r="BG141" s="122">
        <f t="shared" si="77"/>
      </c>
      <c r="BH141" s="120" t="e">
        <f t="shared" si="78"/>
        <v>#VALUE!</v>
      </c>
      <c r="BI141" s="120" t="e">
        <f t="shared" si="79"/>
        <v>#VALUE!</v>
      </c>
      <c r="BJ141" s="122" t="e">
        <f>VLOOKUP(AY141,'排出係数表'!$A$4:$D$202,4)</f>
        <v>#N/A</v>
      </c>
      <c r="BK141" s="257">
        <f t="shared" si="80"/>
      </c>
    </row>
    <row r="142" spans="1:63" s="124" customFormat="1" ht="13.5" customHeight="1">
      <c r="A142" s="120"/>
      <c r="B142" s="120"/>
      <c r="C142" s="155"/>
      <c r="D142" s="155"/>
      <c r="E142" s="155"/>
      <c r="F142" s="155"/>
      <c r="G142" s="156"/>
      <c r="H142" s="157"/>
      <c r="I142" s="155"/>
      <c r="J142" s="155"/>
      <c r="K142" s="158"/>
      <c r="L142" s="159"/>
      <c r="M142" s="244"/>
      <c r="N142" s="155"/>
      <c r="O142" s="345">
        <f t="shared" si="97"/>
      </c>
      <c r="P142" s="345">
        <f t="shared" si="83"/>
      </c>
      <c r="Q142" s="508"/>
      <c r="R142" s="346"/>
      <c r="S142" s="347"/>
      <c r="T142" s="348"/>
      <c r="U142" s="347"/>
      <c r="V142" s="348"/>
      <c r="W142" s="347"/>
      <c r="X142" s="348"/>
      <c r="Y142" s="347"/>
      <c r="Z142" s="348"/>
      <c r="AA142" s="340" t="e">
        <f t="shared" si="84"/>
        <v>#N/A</v>
      </c>
      <c r="AB142" s="339">
        <f t="shared" si="98"/>
      </c>
      <c r="AC142" s="339">
        <f t="shared" si="99"/>
      </c>
      <c r="AD142" s="255">
        <f t="shared" si="100"/>
      </c>
      <c r="AE142" s="256">
        <f t="shared" si="101"/>
      </c>
      <c r="AF142" s="256">
        <f t="shared" si="102"/>
      </c>
      <c r="AG142" s="255">
        <f t="shared" si="103"/>
      </c>
      <c r="AH142" s="255">
        <f t="shared" si="85"/>
      </c>
      <c r="AI142" s="255">
        <f t="shared" si="104"/>
      </c>
      <c r="AJ142" s="255">
        <f t="shared" si="105"/>
      </c>
      <c r="AK142" s="255">
        <f t="shared" si="86"/>
      </c>
      <c r="AL142" s="255">
        <f t="shared" si="87"/>
      </c>
      <c r="AM142" s="120">
        <f ca="1" t="shared" si="46"/>
        <v>0</v>
      </c>
      <c r="AN142" s="120" t="e">
        <f t="shared" si="88"/>
        <v>#N/A</v>
      </c>
      <c r="AO142" s="120">
        <f>ROWS($AO$4:AO142)-1</f>
        <v>138</v>
      </c>
      <c r="AP142" s="255" t="e">
        <f t="shared" si="82"/>
        <v>#N/A</v>
      </c>
      <c r="AQ142" s="120" t="e">
        <f t="shared" si="89"/>
        <v>#N/A</v>
      </c>
      <c r="AR142" s="120" t="e">
        <f t="shared" si="81"/>
        <v>#N/A</v>
      </c>
      <c r="AS142" s="121">
        <f t="shared" si="48"/>
        <v>1</v>
      </c>
      <c r="AT142" s="120" t="str">
        <f t="shared" si="49"/>
        <v> </v>
      </c>
      <c r="AU142" s="120" t="str">
        <f t="shared" si="50"/>
        <v> </v>
      </c>
      <c r="AV142" s="120" t="e">
        <f t="shared" si="90"/>
        <v>#N/A</v>
      </c>
      <c r="AW142" s="120" t="e">
        <f t="shared" si="91"/>
        <v>#N/A</v>
      </c>
      <c r="AX142" s="120">
        <f t="shared" si="92"/>
      </c>
      <c r="AY142" s="120" t="e">
        <f t="shared" si="93"/>
        <v>#N/A</v>
      </c>
      <c r="AZ142" s="120" t="e">
        <f>VLOOKUP(AY142,'排出係数表'!$A$4:$C$202,2,FALSE)</f>
        <v>#N/A</v>
      </c>
      <c r="BA142" s="120" t="e">
        <f t="shared" si="94"/>
        <v>#N/A</v>
      </c>
      <c r="BB142" s="120" t="e">
        <f>VLOOKUP(AY142,'排出係数表'!$A$4:$C$202,3,FALSE)</f>
        <v>#N/A</v>
      </c>
      <c r="BC142" s="120" t="e">
        <f t="shared" si="95"/>
        <v>#N/A</v>
      </c>
      <c r="BD142" s="120">
        <f t="shared" si="106"/>
        <v>1</v>
      </c>
      <c r="BE142" s="122">
        <f t="shared" si="96"/>
      </c>
      <c r="BF142" s="123" t="e">
        <f t="shared" si="51"/>
        <v>#VALUE!</v>
      </c>
      <c r="BG142" s="122">
        <f t="shared" si="77"/>
      </c>
      <c r="BH142" s="120" t="e">
        <f t="shared" si="78"/>
        <v>#VALUE!</v>
      </c>
      <c r="BI142" s="120" t="e">
        <f t="shared" si="79"/>
        <v>#VALUE!</v>
      </c>
      <c r="BJ142" s="122" t="e">
        <f>VLOOKUP(AY142,'排出係数表'!$A$4:$D$202,4)</f>
        <v>#N/A</v>
      </c>
      <c r="BK142" s="257">
        <f t="shared" si="80"/>
      </c>
    </row>
    <row r="143" spans="1:63" s="124" customFormat="1" ht="13.5" customHeight="1">
      <c r="A143" s="120"/>
      <c r="B143" s="120"/>
      <c r="C143" s="155"/>
      <c r="D143" s="155"/>
      <c r="E143" s="155"/>
      <c r="F143" s="155"/>
      <c r="G143" s="156"/>
      <c r="H143" s="157"/>
      <c r="I143" s="155"/>
      <c r="J143" s="155"/>
      <c r="K143" s="158"/>
      <c r="L143" s="159"/>
      <c r="M143" s="244"/>
      <c r="N143" s="155"/>
      <c r="O143" s="345">
        <f t="shared" si="97"/>
      </c>
      <c r="P143" s="345">
        <f t="shared" si="83"/>
      </c>
      <c r="Q143" s="508"/>
      <c r="R143" s="346"/>
      <c r="S143" s="347"/>
      <c r="T143" s="348"/>
      <c r="U143" s="347"/>
      <c r="V143" s="348"/>
      <c r="W143" s="347"/>
      <c r="X143" s="348"/>
      <c r="Y143" s="347"/>
      <c r="Z143" s="348"/>
      <c r="AA143" s="340" t="e">
        <f t="shared" si="84"/>
        <v>#N/A</v>
      </c>
      <c r="AB143" s="339">
        <f t="shared" si="98"/>
      </c>
      <c r="AC143" s="339">
        <f t="shared" si="99"/>
      </c>
      <c r="AD143" s="255">
        <f t="shared" si="100"/>
      </c>
      <c r="AE143" s="256">
        <f t="shared" si="101"/>
      </c>
      <c r="AF143" s="256">
        <f t="shared" si="102"/>
      </c>
      <c r="AG143" s="255">
        <f t="shared" si="103"/>
      </c>
      <c r="AH143" s="255">
        <f t="shared" si="85"/>
      </c>
      <c r="AI143" s="255">
        <f t="shared" si="104"/>
      </c>
      <c r="AJ143" s="255">
        <f t="shared" si="105"/>
      </c>
      <c r="AK143" s="255">
        <f t="shared" si="86"/>
      </c>
      <c r="AL143" s="255">
        <f t="shared" si="87"/>
      </c>
      <c r="AM143" s="120">
        <f ca="1" t="shared" si="46"/>
        <v>0</v>
      </c>
      <c r="AN143" s="120" t="e">
        <f t="shared" si="88"/>
        <v>#N/A</v>
      </c>
      <c r="AO143" s="120">
        <f>ROWS($AO$4:AO143)-1</f>
        <v>139</v>
      </c>
      <c r="AP143" s="255" t="e">
        <f t="shared" si="82"/>
        <v>#N/A</v>
      </c>
      <c r="AQ143" s="120" t="e">
        <f t="shared" si="89"/>
        <v>#N/A</v>
      </c>
      <c r="AR143" s="120" t="e">
        <f t="shared" si="81"/>
        <v>#N/A</v>
      </c>
      <c r="AS143" s="121">
        <f t="shared" si="48"/>
        <v>1</v>
      </c>
      <c r="AT143" s="120" t="str">
        <f t="shared" si="49"/>
        <v> </v>
      </c>
      <c r="AU143" s="120" t="str">
        <f t="shared" si="50"/>
        <v> </v>
      </c>
      <c r="AV143" s="120" t="e">
        <f t="shared" si="90"/>
        <v>#N/A</v>
      </c>
      <c r="AW143" s="120" t="e">
        <f t="shared" si="91"/>
        <v>#N/A</v>
      </c>
      <c r="AX143" s="120">
        <f t="shared" si="92"/>
      </c>
      <c r="AY143" s="120" t="e">
        <f t="shared" si="93"/>
        <v>#N/A</v>
      </c>
      <c r="AZ143" s="120" t="e">
        <f>VLOOKUP(AY143,'排出係数表'!$A$4:$C$202,2,FALSE)</f>
        <v>#N/A</v>
      </c>
      <c r="BA143" s="120" t="e">
        <f t="shared" si="94"/>
        <v>#N/A</v>
      </c>
      <c r="BB143" s="120" t="e">
        <f>VLOOKUP(AY143,'排出係数表'!$A$4:$C$202,3,FALSE)</f>
        <v>#N/A</v>
      </c>
      <c r="BC143" s="120" t="e">
        <f t="shared" si="95"/>
        <v>#N/A</v>
      </c>
      <c r="BD143" s="120">
        <f t="shared" si="106"/>
        <v>1</v>
      </c>
      <c r="BE143" s="122">
        <f t="shared" si="96"/>
      </c>
      <c r="BF143" s="123" t="e">
        <f t="shared" si="51"/>
        <v>#VALUE!</v>
      </c>
      <c r="BG143" s="122">
        <f t="shared" si="77"/>
      </c>
      <c r="BH143" s="120" t="e">
        <f t="shared" si="78"/>
        <v>#VALUE!</v>
      </c>
      <c r="BI143" s="120" t="e">
        <f t="shared" si="79"/>
        <v>#VALUE!</v>
      </c>
      <c r="BJ143" s="122" t="e">
        <f>VLOOKUP(AY143,'排出係数表'!$A$4:$D$202,4)</f>
        <v>#N/A</v>
      </c>
      <c r="BK143" s="257">
        <f t="shared" si="80"/>
      </c>
    </row>
    <row r="144" spans="1:63" s="124" customFormat="1" ht="13.5" customHeight="1">
      <c r="A144" s="120"/>
      <c r="B144" s="120"/>
      <c r="C144" s="155"/>
      <c r="D144" s="155"/>
      <c r="E144" s="155"/>
      <c r="F144" s="155"/>
      <c r="G144" s="156"/>
      <c r="H144" s="157"/>
      <c r="I144" s="155"/>
      <c r="J144" s="155"/>
      <c r="K144" s="158"/>
      <c r="L144" s="159"/>
      <c r="M144" s="244"/>
      <c r="N144" s="155"/>
      <c r="O144" s="345">
        <f t="shared" si="97"/>
      </c>
      <c r="P144" s="345">
        <f t="shared" si="83"/>
      </c>
      <c r="Q144" s="508"/>
      <c r="R144" s="346"/>
      <c r="S144" s="347"/>
      <c r="T144" s="348"/>
      <c r="U144" s="347"/>
      <c r="V144" s="348"/>
      <c r="W144" s="347"/>
      <c r="X144" s="348"/>
      <c r="Y144" s="347"/>
      <c r="Z144" s="348"/>
      <c r="AA144" s="340" t="e">
        <f t="shared" si="84"/>
        <v>#N/A</v>
      </c>
      <c r="AB144" s="339">
        <f t="shared" si="98"/>
      </c>
      <c r="AC144" s="339">
        <f t="shared" si="99"/>
      </c>
      <c r="AD144" s="255">
        <f t="shared" si="100"/>
      </c>
      <c r="AE144" s="256">
        <f t="shared" si="101"/>
      </c>
      <c r="AF144" s="256">
        <f t="shared" si="102"/>
      </c>
      <c r="AG144" s="255">
        <f t="shared" si="103"/>
      </c>
      <c r="AH144" s="255">
        <f t="shared" si="85"/>
      </c>
      <c r="AI144" s="255">
        <f t="shared" si="104"/>
      </c>
      <c r="AJ144" s="255">
        <f t="shared" si="105"/>
      </c>
      <c r="AK144" s="255">
        <f t="shared" si="86"/>
      </c>
      <c r="AL144" s="255">
        <f t="shared" si="87"/>
      </c>
      <c r="AM144" s="120">
        <f ca="1" t="shared" si="46"/>
        <v>0</v>
      </c>
      <c r="AN144" s="120" t="e">
        <f t="shared" si="88"/>
        <v>#N/A</v>
      </c>
      <c r="AO144" s="120">
        <f>ROWS($AO$4:AO144)-1</f>
        <v>140</v>
      </c>
      <c r="AP144" s="255" t="e">
        <f t="shared" si="82"/>
        <v>#N/A</v>
      </c>
      <c r="AQ144" s="120" t="e">
        <f t="shared" si="89"/>
        <v>#N/A</v>
      </c>
      <c r="AR144" s="120" t="e">
        <f t="shared" si="81"/>
        <v>#N/A</v>
      </c>
      <c r="AS144" s="121">
        <f t="shared" si="48"/>
        <v>1</v>
      </c>
      <c r="AT144" s="120" t="str">
        <f t="shared" si="49"/>
        <v> </v>
      </c>
      <c r="AU144" s="120" t="str">
        <f t="shared" si="50"/>
        <v> </v>
      </c>
      <c r="AV144" s="120" t="e">
        <f t="shared" si="90"/>
        <v>#N/A</v>
      </c>
      <c r="AW144" s="120" t="e">
        <f t="shared" si="91"/>
        <v>#N/A</v>
      </c>
      <c r="AX144" s="120">
        <f t="shared" si="92"/>
      </c>
      <c r="AY144" s="120" t="e">
        <f t="shared" si="93"/>
        <v>#N/A</v>
      </c>
      <c r="AZ144" s="120" t="e">
        <f>VLOOKUP(AY144,'排出係数表'!$A$4:$C$202,2,FALSE)</f>
        <v>#N/A</v>
      </c>
      <c r="BA144" s="120" t="e">
        <f t="shared" si="94"/>
        <v>#N/A</v>
      </c>
      <c r="BB144" s="120" t="e">
        <f>VLOOKUP(AY144,'排出係数表'!$A$4:$C$202,3,FALSE)</f>
        <v>#N/A</v>
      </c>
      <c r="BC144" s="120" t="e">
        <f t="shared" si="95"/>
        <v>#N/A</v>
      </c>
      <c r="BD144" s="120">
        <f t="shared" si="106"/>
        <v>1</v>
      </c>
      <c r="BE144" s="122">
        <f t="shared" si="96"/>
      </c>
      <c r="BF144" s="123" t="e">
        <f t="shared" si="51"/>
        <v>#VALUE!</v>
      </c>
      <c r="BG144" s="122">
        <f t="shared" si="77"/>
      </c>
      <c r="BH144" s="120" t="e">
        <f t="shared" si="78"/>
        <v>#VALUE!</v>
      </c>
      <c r="BI144" s="120" t="e">
        <f t="shared" si="79"/>
        <v>#VALUE!</v>
      </c>
      <c r="BJ144" s="122" t="e">
        <f>VLOOKUP(AY144,'排出係数表'!$A$4:$D$202,4)</f>
        <v>#N/A</v>
      </c>
      <c r="BK144" s="257">
        <f t="shared" si="80"/>
      </c>
    </row>
    <row r="145" spans="1:63" s="124" customFormat="1" ht="13.5" customHeight="1">
      <c r="A145" s="120"/>
      <c r="B145" s="120"/>
      <c r="C145" s="155"/>
      <c r="D145" s="155"/>
      <c r="E145" s="155"/>
      <c r="F145" s="155"/>
      <c r="G145" s="156"/>
      <c r="H145" s="157"/>
      <c r="I145" s="155"/>
      <c r="J145" s="155"/>
      <c r="K145" s="158"/>
      <c r="L145" s="159"/>
      <c r="M145" s="244"/>
      <c r="N145" s="155"/>
      <c r="O145" s="345">
        <f t="shared" si="97"/>
      </c>
      <c r="P145" s="345">
        <f t="shared" si="83"/>
      </c>
      <c r="Q145" s="508"/>
      <c r="R145" s="346"/>
      <c r="S145" s="347"/>
      <c r="T145" s="348"/>
      <c r="U145" s="347"/>
      <c r="V145" s="348"/>
      <c r="W145" s="347"/>
      <c r="X145" s="348"/>
      <c r="Y145" s="347"/>
      <c r="Z145" s="348"/>
      <c r="AA145" s="340" t="e">
        <f t="shared" si="84"/>
        <v>#N/A</v>
      </c>
      <c r="AB145" s="339">
        <f t="shared" si="98"/>
      </c>
      <c r="AC145" s="339">
        <f t="shared" si="99"/>
      </c>
      <c r="AD145" s="255">
        <f t="shared" si="100"/>
      </c>
      <c r="AE145" s="256">
        <f t="shared" si="101"/>
      </c>
      <c r="AF145" s="256">
        <f t="shared" si="102"/>
      </c>
      <c r="AG145" s="255">
        <f t="shared" si="103"/>
      </c>
      <c r="AH145" s="255">
        <f t="shared" si="85"/>
      </c>
      <c r="AI145" s="255">
        <f t="shared" si="104"/>
      </c>
      <c r="AJ145" s="255">
        <f t="shared" si="105"/>
      </c>
      <c r="AK145" s="255">
        <f t="shared" si="86"/>
      </c>
      <c r="AL145" s="255">
        <f t="shared" si="87"/>
      </c>
      <c r="AM145" s="120">
        <f ca="1" t="shared" si="46"/>
        <v>0</v>
      </c>
      <c r="AN145" s="120" t="e">
        <f t="shared" si="88"/>
        <v>#N/A</v>
      </c>
      <c r="AO145" s="120">
        <f>ROWS($AO$4:AO145)-1</f>
        <v>141</v>
      </c>
      <c r="AP145" s="255" t="e">
        <f t="shared" si="82"/>
        <v>#N/A</v>
      </c>
      <c r="AQ145" s="120" t="e">
        <f t="shared" si="89"/>
        <v>#N/A</v>
      </c>
      <c r="AR145" s="120" t="e">
        <f t="shared" si="81"/>
        <v>#N/A</v>
      </c>
      <c r="AS145" s="121">
        <f t="shared" si="48"/>
        <v>1</v>
      </c>
      <c r="AT145" s="120" t="str">
        <f t="shared" si="49"/>
        <v> </v>
      </c>
      <c r="AU145" s="120" t="str">
        <f t="shared" si="50"/>
        <v> </v>
      </c>
      <c r="AV145" s="120" t="e">
        <f t="shared" si="90"/>
        <v>#N/A</v>
      </c>
      <c r="AW145" s="120" t="e">
        <f t="shared" si="91"/>
        <v>#N/A</v>
      </c>
      <c r="AX145" s="120">
        <f t="shared" si="92"/>
      </c>
      <c r="AY145" s="120" t="e">
        <f t="shared" si="93"/>
        <v>#N/A</v>
      </c>
      <c r="AZ145" s="120" t="e">
        <f>VLOOKUP(AY145,'排出係数表'!$A$4:$C$202,2,FALSE)</f>
        <v>#N/A</v>
      </c>
      <c r="BA145" s="120" t="e">
        <f t="shared" si="94"/>
        <v>#N/A</v>
      </c>
      <c r="BB145" s="120" t="e">
        <f>VLOOKUP(AY145,'排出係数表'!$A$4:$C$202,3,FALSE)</f>
        <v>#N/A</v>
      </c>
      <c r="BC145" s="120" t="e">
        <f t="shared" si="95"/>
        <v>#N/A</v>
      </c>
      <c r="BD145" s="120">
        <f t="shared" si="106"/>
        <v>1</v>
      </c>
      <c r="BE145" s="122">
        <f t="shared" si="96"/>
      </c>
      <c r="BF145" s="123" t="e">
        <f t="shared" si="51"/>
        <v>#VALUE!</v>
      </c>
      <c r="BG145" s="122">
        <f aca="true" t="shared" si="107" ref="BG145:BG208">IF(OR(AL145="",AL145=0),"",CONCATENATE(BF145,AR145,AU145))</f>
      </c>
      <c r="BH145" s="120" t="e">
        <f aca="true" t="shared" si="108" ref="BH145:BH208">AI145&amp;BF145&amp;AR145&amp;AU145</f>
        <v>#VALUE!</v>
      </c>
      <c r="BI145" s="120" t="e">
        <f aca="true" t="shared" si="109" ref="BI145:BI208">AG145&amp;BF145&amp;AR145&amp;AU145</f>
        <v>#VALUE!</v>
      </c>
      <c r="BJ145" s="122" t="e">
        <f>VLOOKUP(AY145,'排出係数表'!$A$4:$D$202,4)</f>
        <v>#N/A</v>
      </c>
      <c r="BK145" s="257">
        <f t="shared" si="80"/>
      </c>
    </row>
    <row r="146" spans="1:63" s="124" customFormat="1" ht="13.5" customHeight="1">
      <c r="A146" s="120"/>
      <c r="B146" s="120"/>
      <c r="C146" s="155"/>
      <c r="D146" s="155"/>
      <c r="E146" s="155"/>
      <c r="F146" s="155"/>
      <c r="G146" s="156"/>
      <c r="H146" s="157"/>
      <c r="I146" s="155"/>
      <c r="J146" s="155"/>
      <c r="K146" s="158"/>
      <c r="L146" s="159"/>
      <c r="M146" s="244"/>
      <c r="N146" s="155"/>
      <c r="O146" s="345">
        <f t="shared" si="97"/>
      </c>
      <c r="P146" s="345">
        <f t="shared" si="83"/>
      </c>
      <c r="Q146" s="508"/>
      <c r="R146" s="346"/>
      <c r="S146" s="347"/>
      <c r="T146" s="348"/>
      <c r="U146" s="347"/>
      <c r="V146" s="348"/>
      <c r="W146" s="347"/>
      <c r="X146" s="348"/>
      <c r="Y146" s="347"/>
      <c r="Z146" s="348"/>
      <c r="AA146" s="340" t="e">
        <f t="shared" si="84"/>
        <v>#N/A</v>
      </c>
      <c r="AB146" s="339">
        <f t="shared" si="98"/>
      </c>
      <c r="AC146" s="339">
        <f t="shared" si="99"/>
      </c>
      <c r="AD146" s="255">
        <f t="shared" si="100"/>
      </c>
      <c r="AE146" s="256">
        <f t="shared" si="101"/>
      </c>
      <c r="AF146" s="256">
        <f t="shared" si="102"/>
      </c>
      <c r="AG146" s="255">
        <f t="shared" si="103"/>
      </c>
      <c r="AH146" s="255">
        <f t="shared" si="85"/>
      </c>
      <c r="AI146" s="255">
        <f t="shared" si="104"/>
      </c>
      <c r="AJ146" s="255">
        <f t="shared" si="105"/>
      </c>
      <c r="AK146" s="255">
        <f t="shared" si="86"/>
      </c>
      <c r="AL146" s="255">
        <f t="shared" si="87"/>
      </c>
      <c r="AM146" s="120">
        <f ca="1" t="shared" si="46"/>
        <v>0</v>
      </c>
      <c r="AN146" s="120" t="e">
        <f t="shared" si="88"/>
        <v>#N/A</v>
      </c>
      <c r="AO146" s="120">
        <f>ROWS($AO$4:AO146)-1</f>
        <v>142</v>
      </c>
      <c r="AP146" s="255" t="e">
        <f t="shared" si="82"/>
        <v>#N/A</v>
      </c>
      <c r="AQ146" s="120" t="e">
        <f t="shared" si="89"/>
        <v>#N/A</v>
      </c>
      <c r="AR146" s="120" t="e">
        <f t="shared" si="81"/>
        <v>#N/A</v>
      </c>
      <c r="AS146" s="121">
        <f t="shared" si="48"/>
        <v>1</v>
      </c>
      <c r="AT146" s="120" t="str">
        <f t="shared" si="49"/>
        <v> </v>
      </c>
      <c r="AU146" s="120" t="str">
        <f t="shared" si="50"/>
        <v> </v>
      </c>
      <c r="AV146" s="120" t="e">
        <f t="shared" si="90"/>
        <v>#N/A</v>
      </c>
      <c r="AW146" s="120" t="e">
        <f t="shared" si="91"/>
        <v>#N/A</v>
      </c>
      <c r="AX146" s="120">
        <f t="shared" si="92"/>
      </c>
      <c r="AY146" s="120" t="e">
        <f t="shared" si="93"/>
        <v>#N/A</v>
      </c>
      <c r="AZ146" s="120" t="e">
        <f>VLOOKUP(AY146,'排出係数表'!$A$4:$C$202,2,FALSE)</f>
        <v>#N/A</v>
      </c>
      <c r="BA146" s="120" t="e">
        <f t="shared" si="94"/>
        <v>#N/A</v>
      </c>
      <c r="BB146" s="120" t="e">
        <f>VLOOKUP(AY146,'排出係数表'!$A$4:$C$202,3,FALSE)</f>
        <v>#N/A</v>
      </c>
      <c r="BC146" s="120" t="e">
        <f t="shared" si="95"/>
        <v>#N/A</v>
      </c>
      <c r="BD146" s="120">
        <f t="shared" si="106"/>
        <v>1</v>
      </c>
      <c r="BE146" s="122">
        <f t="shared" si="96"/>
      </c>
      <c r="BF146" s="123" t="e">
        <f t="shared" si="51"/>
        <v>#VALUE!</v>
      </c>
      <c r="BG146" s="122">
        <f t="shared" si="107"/>
      </c>
      <c r="BH146" s="120" t="e">
        <f t="shared" si="108"/>
        <v>#VALUE!</v>
      </c>
      <c r="BI146" s="120" t="e">
        <f t="shared" si="109"/>
        <v>#VALUE!</v>
      </c>
      <c r="BJ146" s="122" t="e">
        <f>VLOOKUP(AY146,'排出係数表'!$A$4:$D$202,4)</f>
        <v>#N/A</v>
      </c>
      <c r="BK146" s="257">
        <f t="shared" si="80"/>
      </c>
    </row>
    <row r="147" spans="1:63" s="124" customFormat="1" ht="13.5" customHeight="1">
      <c r="A147" s="120"/>
      <c r="B147" s="120"/>
      <c r="C147" s="155"/>
      <c r="D147" s="155"/>
      <c r="E147" s="155"/>
      <c r="F147" s="155"/>
      <c r="G147" s="156"/>
      <c r="H147" s="157"/>
      <c r="I147" s="155"/>
      <c r="J147" s="155"/>
      <c r="K147" s="158"/>
      <c r="L147" s="159"/>
      <c r="M147" s="244"/>
      <c r="N147" s="155"/>
      <c r="O147" s="345">
        <f t="shared" si="97"/>
      </c>
      <c r="P147" s="345">
        <f t="shared" si="83"/>
      </c>
      <c r="Q147" s="508"/>
      <c r="R147" s="346"/>
      <c r="S147" s="347"/>
      <c r="T147" s="348"/>
      <c r="U147" s="347"/>
      <c r="V147" s="348"/>
      <c r="W147" s="347"/>
      <c r="X147" s="348"/>
      <c r="Y147" s="347"/>
      <c r="Z147" s="348"/>
      <c r="AA147" s="340" t="e">
        <f t="shared" si="84"/>
        <v>#N/A</v>
      </c>
      <c r="AB147" s="339">
        <f t="shared" si="98"/>
      </c>
      <c r="AC147" s="339">
        <f t="shared" si="99"/>
      </c>
      <c r="AD147" s="255">
        <f t="shared" si="100"/>
      </c>
      <c r="AE147" s="256">
        <f t="shared" si="101"/>
      </c>
      <c r="AF147" s="256">
        <f t="shared" si="102"/>
      </c>
      <c r="AG147" s="255">
        <f t="shared" si="103"/>
      </c>
      <c r="AH147" s="255">
        <f t="shared" si="85"/>
      </c>
      <c r="AI147" s="255">
        <f t="shared" si="104"/>
      </c>
      <c r="AJ147" s="255">
        <f t="shared" si="105"/>
      </c>
      <c r="AK147" s="255">
        <f t="shared" si="86"/>
      </c>
      <c r="AL147" s="255">
        <f t="shared" si="87"/>
      </c>
      <c r="AM147" s="120">
        <f ca="1" t="shared" si="46"/>
        <v>0</v>
      </c>
      <c r="AN147" s="120" t="e">
        <f t="shared" si="88"/>
        <v>#N/A</v>
      </c>
      <c r="AO147" s="120">
        <f>ROWS($AO$4:AO147)-1</f>
        <v>143</v>
      </c>
      <c r="AP147" s="255" t="e">
        <f t="shared" si="82"/>
        <v>#N/A</v>
      </c>
      <c r="AQ147" s="120" t="e">
        <f t="shared" si="89"/>
        <v>#N/A</v>
      </c>
      <c r="AR147" s="120" t="e">
        <f t="shared" si="81"/>
        <v>#N/A</v>
      </c>
      <c r="AS147" s="121">
        <f t="shared" si="48"/>
        <v>1</v>
      </c>
      <c r="AT147" s="120" t="str">
        <f t="shared" si="49"/>
        <v> </v>
      </c>
      <c r="AU147" s="120" t="str">
        <f t="shared" si="50"/>
        <v> </v>
      </c>
      <c r="AV147" s="120" t="e">
        <f t="shared" si="90"/>
        <v>#N/A</v>
      </c>
      <c r="AW147" s="120" t="e">
        <f t="shared" si="91"/>
        <v>#N/A</v>
      </c>
      <c r="AX147" s="120">
        <f t="shared" si="92"/>
      </c>
      <c r="AY147" s="120" t="e">
        <f t="shared" si="93"/>
        <v>#N/A</v>
      </c>
      <c r="AZ147" s="120" t="e">
        <f>VLOOKUP(AY147,'排出係数表'!$A$4:$C$202,2,FALSE)</f>
        <v>#N/A</v>
      </c>
      <c r="BA147" s="120" t="e">
        <f t="shared" si="94"/>
        <v>#N/A</v>
      </c>
      <c r="BB147" s="120" t="e">
        <f>VLOOKUP(AY147,'排出係数表'!$A$4:$C$202,3,FALSE)</f>
        <v>#N/A</v>
      </c>
      <c r="BC147" s="120" t="e">
        <f t="shared" si="95"/>
        <v>#N/A</v>
      </c>
      <c r="BD147" s="120">
        <f t="shared" si="106"/>
        <v>1</v>
      </c>
      <c r="BE147" s="122">
        <f t="shared" si="96"/>
      </c>
      <c r="BF147" s="123" t="e">
        <f t="shared" si="51"/>
        <v>#VALUE!</v>
      </c>
      <c r="BG147" s="122">
        <f t="shared" si="107"/>
      </c>
      <c r="BH147" s="120" t="e">
        <f t="shared" si="108"/>
        <v>#VALUE!</v>
      </c>
      <c r="BI147" s="120" t="e">
        <f t="shared" si="109"/>
        <v>#VALUE!</v>
      </c>
      <c r="BJ147" s="122" t="e">
        <f>VLOOKUP(AY147,'排出係数表'!$A$4:$D$202,4)</f>
        <v>#N/A</v>
      </c>
      <c r="BK147" s="257">
        <f t="shared" si="80"/>
      </c>
    </row>
    <row r="148" spans="1:63" s="124" customFormat="1" ht="13.5" customHeight="1">
      <c r="A148" s="120"/>
      <c r="B148" s="120"/>
      <c r="C148" s="155"/>
      <c r="D148" s="155"/>
      <c r="E148" s="155"/>
      <c r="F148" s="155"/>
      <c r="G148" s="156"/>
      <c r="H148" s="157"/>
      <c r="I148" s="155"/>
      <c r="J148" s="155"/>
      <c r="K148" s="158"/>
      <c r="L148" s="159"/>
      <c r="M148" s="244"/>
      <c r="N148" s="155"/>
      <c r="O148" s="345">
        <f t="shared" si="97"/>
      </c>
      <c r="P148" s="345">
        <f t="shared" si="83"/>
      </c>
      <c r="Q148" s="508"/>
      <c r="R148" s="346"/>
      <c r="S148" s="347"/>
      <c r="T148" s="348"/>
      <c r="U148" s="347"/>
      <c r="V148" s="348"/>
      <c r="W148" s="347"/>
      <c r="X148" s="348"/>
      <c r="Y148" s="347"/>
      <c r="Z148" s="348"/>
      <c r="AA148" s="340" t="e">
        <f t="shared" si="84"/>
        <v>#N/A</v>
      </c>
      <c r="AB148" s="339">
        <f t="shared" si="98"/>
      </c>
      <c r="AC148" s="339">
        <f t="shared" si="99"/>
      </c>
      <c r="AD148" s="255">
        <f t="shared" si="100"/>
      </c>
      <c r="AE148" s="256">
        <f t="shared" si="101"/>
      </c>
      <c r="AF148" s="256">
        <f t="shared" si="102"/>
      </c>
      <c r="AG148" s="255">
        <f t="shared" si="103"/>
      </c>
      <c r="AH148" s="255">
        <f t="shared" si="85"/>
      </c>
      <c r="AI148" s="255">
        <f t="shared" si="104"/>
      </c>
      <c r="AJ148" s="255">
        <f t="shared" si="105"/>
      </c>
      <c r="AK148" s="255">
        <f t="shared" si="86"/>
      </c>
      <c r="AL148" s="255">
        <f t="shared" si="87"/>
      </c>
      <c r="AM148" s="120">
        <f ca="1" t="shared" si="46"/>
        <v>0</v>
      </c>
      <c r="AN148" s="120" t="e">
        <f t="shared" si="88"/>
        <v>#N/A</v>
      </c>
      <c r="AO148" s="120">
        <f>ROWS($AO$4:AO148)-1</f>
        <v>144</v>
      </c>
      <c r="AP148" s="255" t="e">
        <f t="shared" si="82"/>
        <v>#N/A</v>
      </c>
      <c r="AQ148" s="120" t="e">
        <f t="shared" si="89"/>
        <v>#N/A</v>
      </c>
      <c r="AR148" s="120" t="e">
        <f t="shared" si="81"/>
        <v>#N/A</v>
      </c>
      <c r="AS148" s="121">
        <f t="shared" si="48"/>
        <v>1</v>
      </c>
      <c r="AT148" s="120" t="str">
        <f t="shared" si="49"/>
        <v> </v>
      </c>
      <c r="AU148" s="120" t="str">
        <f t="shared" si="50"/>
        <v> </v>
      </c>
      <c r="AV148" s="120" t="e">
        <f t="shared" si="90"/>
        <v>#N/A</v>
      </c>
      <c r="AW148" s="120" t="e">
        <f t="shared" si="91"/>
        <v>#N/A</v>
      </c>
      <c r="AX148" s="120">
        <f t="shared" si="92"/>
      </c>
      <c r="AY148" s="120" t="e">
        <f t="shared" si="93"/>
        <v>#N/A</v>
      </c>
      <c r="AZ148" s="120" t="e">
        <f>VLOOKUP(AY148,'排出係数表'!$A$4:$C$202,2,FALSE)</f>
        <v>#N/A</v>
      </c>
      <c r="BA148" s="120" t="e">
        <f t="shared" si="94"/>
        <v>#N/A</v>
      </c>
      <c r="BB148" s="120" t="e">
        <f>VLOOKUP(AY148,'排出係数表'!$A$4:$C$202,3,FALSE)</f>
        <v>#N/A</v>
      </c>
      <c r="BC148" s="120" t="e">
        <f t="shared" si="95"/>
        <v>#N/A</v>
      </c>
      <c r="BD148" s="120">
        <f t="shared" si="106"/>
        <v>1</v>
      </c>
      <c r="BE148" s="122">
        <f t="shared" si="96"/>
      </c>
      <c r="BF148" s="123" t="e">
        <f t="shared" si="51"/>
        <v>#VALUE!</v>
      </c>
      <c r="BG148" s="122">
        <f t="shared" si="107"/>
      </c>
      <c r="BH148" s="120" t="e">
        <f t="shared" si="108"/>
        <v>#VALUE!</v>
      </c>
      <c r="BI148" s="120" t="e">
        <f t="shared" si="109"/>
        <v>#VALUE!</v>
      </c>
      <c r="BJ148" s="122" t="e">
        <f>VLOOKUP(AY148,'排出係数表'!$A$4:$D$202,4)</f>
        <v>#N/A</v>
      </c>
      <c r="BK148" s="257">
        <f t="shared" si="80"/>
      </c>
    </row>
    <row r="149" spans="1:63" s="124" customFormat="1" ht="13.5" customHeight="1">
      <c r="A149" s="120"/>
      <c r="B149" s="120"/>
      <c r="C149" s="155"/>
      <c r="D149" s="155"/>
      <c r="E149" s="155"/>
      <c r="F149" s="155"/>
      <c r="G149" s="156"/>
      <c r="H149" s="157"/>
      <c r="I149" s="155"/>
      <c r="J149" s="155"/>
      <c r="K149" s="158"/>
      <c r="L149" s="159"/>
      <c r="M149" s="244"/>
      <c r="N149" s="155"/>
      <c r="O149" s="345">
        <f t="shared" si="97"/>
      </c>
      <c r="P149" s="345">
        <f t="shared" si="83"/>
      </c>
      <c r="Q149" s="508"/>
      <c r="R149" s="346"/>
      <c r="S149" s="347"/>
      <c r="T149" s="348"/>
      <c r="U149" s="347"/>
      <c r="V149" s="348"/>
      <c r="W149" s="347"/>
      <c r="X149" s="348"/>
      <c r="Y149" s="347"/>
      <c r="Z149" s="348"/>
      <c r="AA149" s="340" t="e">
        <f t="shared" si="84"/>
        <v>#N/A</v>
      </c>
      <c r="AB149" s="339">
        <f t="shared" si="98"/>
      </c>
      <c r="AC149" s="339">
        <f t="shared" si="99"/>
      </c>
      <c r="AD149" s="255">
        <f t="shared" si="100"/>
      </c>
      <c r="AE149" s="256">
        <f t="shared" si="101"/>
      </c>
      <c r="AF149" s="256">
        <f t="shared" si="102"/>
      </c>
      <c r="AG149" s="255">
        <f t="shared" si="103"/>
      </c>
      <c r="AH149" s="255">
        <f t="shared" si="85"/>
      </c>
      <c r="AI149" s="255">
        <f t="shared" si="104"/>
      </c>
      <c r="AJ149" s="255">
        <f t="shared" si="105"/>
      </c>
      <c r="AK149" s="255">
        <f t="shared" si="86"/>
      </c>
      <c r="AL149" s="255">
        <f t="shared" si="87"/>
      </c>
      <c r="AM149" s="120">
        <f ca="1" t="shared" si="46"/>
        <v>0</v>
      </c>
      <c r="AN149" s="120" t="e">
        <f t="shared" si="88"/>
        <v>#N/A</v>
      </c>
      <c r="AO149" s="120">
        <f>ROWS($AO$4:AO149)-1</f>
        <v>145</v>
      </c>
      <c r="AP149" s="255" t="e">
        <f t="shared" si="82"/>
        <v>#N/A</v>
      </c>
      <c r="AQ149" s="120" t="e">
        <f t="shared" si="89"/>
        <v>#N/A</v>
      </c>
      <c r="AR149" s="120" t="e">
        <f t="shared" si="81"/>
        <v>#N/A</v>
      </c>
      <c r="AS149" s="121">
        <f t="shared" si="48"/>
        <v>1</v>
      </c>
      <c r="AT149" s="120" t="str">
        <f t="shared" si="49"/>
        <v> </v>
      </c>
      <c r="AU149" s="120" t="str">
        <f t="shared" si="50"/>
        <v> </v>
      </c>
      <c r="AV149" s="120" t="e">
        <f t="shared" si="90"/>
        <v>#N/A</v>
      </c>
      <c r="AW149" s="120" t="e">
        <f t="shared" si="91"/>
        <v>#N/A</v>
      </c>
      <c r="AX149" s="120">
        <f t="shared" si="92"/>
      </c>
      <c r="AY149" s="120" t="e">
        <f t="shared" si="93"/>
        <v>#N/A</v>
      </c>
      <c r="AZ149" s="120" t="e">
        <f>VLOOKUP(AY149,'排出係数表'!$A$4:$C$202,2,FALSE)</f>
        <v>#N/A</v>
      </c>
      <c r="BA149" s="120" t="e">
        <f t="shared" si="94"/>
        <v>#N/A</v>
      </c>
      <c r="BB149" s="120" t="e">
        <f>VLOOKUP(AY149,'排出係数表'!$A$4:$C$202,3,FALSE)</f>
        <v>#N/A</v>
      </c>
      <c r="BC149" s="120" t="e">
        <f t="shared" si="95"/>
        <v>#N/A</v>
      </c>
      <c r="BD149" s="120">
        <f t="shared" si="106"/>
        <v>1</v>
      </c>
      <c r="BE149" s="122">
        <f t="shared" si="96"/>
      </c>
      <c r="BF149" s="123" t="e">
        <f t="shared" si="51"/>
        <v>#VALUE!</v>
      </c>
      <c r="BG149" s="122">
        <f t="shared" si="107"/>
      </c>
      <c r="BH149" s="120" t="e">
        <f t="shared" si="108"/>
        <v>#VALUE!</v>
      </c>
      <c r="BI149" s="120" t="e">
        <f t="shared" si="109"/>
        <v>#VALUE!</v>
      </c>
      <c r="BJ149" s="122" t="e">
        <f>VLOOKUP(AY149,'排出係数表'!$A$4:$D$202,4)</f>
        <v>#N/A</v>
      </c>
      <c r="BK149" s="257">
        <f t="shared" si="80"/>
      </c>
    </row>
    <row r="150" spans="1:63" s="124" customFormat="1" ht="13.5" customHeight="1">
      <c r="A150" s="120"/>
      <c r="B150" s="120"/>
      <c r="C150" s="155"/>
      <c r="D150" s="155"/>
      <c r="E150" s="155"/>
      <c r="F150" s="155"/>
      <c r="G150" s="156"/>
      <c r="H150" s="157"/>
      <c r="I150" s="155"/>
      <c r="J150" s="155"/>
      <c r="K150" s="158"/>
      <c r="L150" s="159"/>
      <c r="M150" s="244"/>
      <c r="N150" s="155"/>
      <c r="O150" s="345">
        <f t="shared" si="97"/>
      </c>
      <c r="P150" s="345">
        <f t="shared" si="83"/>
      </c>
      <c r="Q150" s="508"/>
      <c r="R150" s="346"/>
      <c r="S150" s="347"/>
      <c r="T150" s="348"/>
      <c r="U150" s="347"/>
      <c r="V150" s="348"/>
      <c r="W150" s="347"/>
      <c r="X150" s="348"/>
      <c r="Y150" s="347"/>
      <c r="Z150" s="348"/>
      <c r="AA150" s="340" t="e">
        <f t="shared" si="84"/>
        <v>#N/A</v>
      </c>
      <c r="AB150" s="339">
        <f t="shared" si="98"/>
      </c>
      <c r="AC150" s="339">
        <f t="shared" si="99"/>
      </c>
      <c r="AD150" s="255">
        <f t="shared" si="100"/>
      </c>
      <c r="AE150" s="256">
        <f t="shared" si="101"/>
      </c>
      <c r="AF150" s="256">
        <f t="shared" si="102"/>
      </c>
      <c r="AG150" s="255">
        <f t="shared" si="103"/>
      </c>
      <c r="AH150" s="255">
        <f t="shared" si="85"/>
      </c>
      <c r="AI150" s="255">
        <f t="shared" si="104"/>
      </c>
      <c r="AJ150" s="255">
        <f t="shared" si="105"/>
      </c>
      <c r="AK150" s="255">
        <f t="shared" si="86"/>
      </c>
      <c r="AL150" s="255">
        <f t="shared" si="87"/>
      </c>
      <c r="AM150" s="120">
        <f ca="1" t="shared" si="46"/>
        <v>0</v>
      </c>
      <c r="AN150" s="120" t="e">
        <f t="shared" si="88"/>
        <v>#N/A</v>
      </c>
      <c r="AO150" s="120">
        <f>ROWS($AO$4:AO150)-1</f>
        <v>146</v>
      </c>
      <c r="AP150" s="255" t="e">
        <f t="shared" si="82"/>
        <v>#N/A</v>
      </c>
      <c r="AQ150" s="120" t="e">
        <f t="shared" si="89"/>
        <v>#N/A</v>
      </c>
      <c r="AR150" s="120" t="e">
        <f t="shared" si="81"/>
        <v>#N/A</v>
      </c>
      <c r="AS150" s="121">
        <f t="shared" si="48"/>
        <v>1</v>
      </c>
      <c r="AT150" s="120" t="str">
        <f t="shared" si="49"/>
        <v> </v>
      </c>
      <c r="AU150" s="120" t="str">
        <f t="shared" si="50"/>
        <v> </v>
      </c>
      <c r="AV150" s="120" t="e">
        <f t="shared" si="90"/>
        <v>#N/A</v>
      </c>
      <c r="AW150" s="120" t="e">
        <f t="shared" si="91"/>
        <v>#N/A</v>
      </c>
      <c r="AX150" s="120">
        <f t="shared" si="92"/>
      </c>
      <c r="AY150" s="120" t="e">
        <f t="shared" si="93"/>
        <v>#N/A</v>
      </c>
      <c r="AZ150" s="120" t="e">
        <f>VLOOKUP(AY150,'排出係数表'!$A$4:$C$202,2,FALSE)</f>
        <v>#N/A</v>
      </c>
      <c r="BA150" s="120" t="e">
        <f t="shared" si="94"/>
        <v>#N/A</v>
      </c>
      <c r="BB150" s="120" t="e">
        <f>VLOOKUP(AY150,'排出係数表'!$A$4:$C$202,3,FALSE)</f>
        <v>#N/A</v>
      </c>
      <c r="BC150" s="120" t="e">
        <f t="shared" si="95"/>
        <v>#N/A</v>
      </c>
      <c r="BD150" s="120">
        <f t="shared" si="106"/>
        <v>1</v>
      </c>
      <c r="BE150" s="122">
        <f t="shared" si="96"/>
      </c>
      <c r="BF150" s="123" t="e">
        <f t="shared" si="51"/>
        <v>#VALUE!</v>
      </c>
      <c r="BG150" s="122">
        <f t="shared" si="107"/>
      </c>
      <c r="BH150" s="120" t="e">
        <f t="shared" si="108"/>
        <v>#VALUE!</v>
      </c>
      <c r="BI150" s="120" t="e">
        <f t="shared" si="109"/>
        <v>#VALUE!</v>
      </c>
      <c r="BJ150" s="122" t="e">
        <f>VLOOKUP(AY150,'排出係数表'!$A$4:$D$202,4)</f>
        <v>#N/A</v>
      </c>
      <c r="BK150" s="257">
        <f t="shared" si="80"/>
      </c>
    </row>
    <row r="151" spans="1:63" s="124" customFormat="1" ht="13.5" customHeight="1">
      <c r="A151" s="120"/>
      <c r="B151" s="120"/>
      <c r="C151" s="155"/>
      <c r="D151" s="155"/>
      <c r="E151" s="155"/>
      <c r="F151" s="155"/>
      <c r="G151" s="156"/>
      <c r="H151" s="157"/>
      <c r="I151" s="155"/>
      <c r="J151" s="155"/>
      <c r="K151" s="158"/>
      <c r="L151" s="159"/>
      <c r="M151" s="244"/>
      <c r="N151" s="155"/>
      <c r="O151" s="345">
        <f t="shared" si="97"/>
      </c>
      <c r="P151" s="345">
        <f t="shared" si="83"/>
      </c>
      <c r="Q151" s="508"/>
      <c r="R151" s="346"/>
      <c r="S151" s="347"/>
      <c r="T151" s="348"/>
      <c r="U151" s="347"/>
      <c r="V151" s="348"/>
      <c r="W151" s="347"/>
      <c r="X151" s="348"/>
      <c r="Y151" s="347"/>
      <c r="Z151" s="348"/>
      <c r="AA151" s="340" t="e">
        <f t="shared" si="84"/>
        <v>#N/A</v>
      </c>
      <c r="AB151" s="339">
        <f t="shared" si="98"/>
      </c>
      <c r="AC151" s="339">
        <f t="shared" si="99"/>
      </c>
      <c r="AD151" s="255">
        <f t="shared" si="100"/>
      </c>
      <c r="AE151" s="256">
        <f t="shared" si="101"/>
      </c>
      <c r="AF151" s="256">
        <f t="shared" si="102"/>
      </c>
      <c r="AG151" s="255">
        <f t="shared" si="103"/>
      </c>
      <c r="AH151" s="255">
        <f t="shared" si="85"/>
      </c>
      <c r="AI151" s="255">
        <f t="shared" si="104"/>
      </c>
      <c r="AJ151" s="255">
        <f t="shared" si="105"/>
      </c>
      <c r="AK151" s="255">
        <f t="shared" si="86"/>
      </c>
      <c r="AL151" s="255">
        <f t="shared" si="87"/>
      </c>
      <c r="AM151" s="120">
        <f aca="true" ca="1" t="shared" si="110" ref="AM151:AM182">COUNTIF(OFFSET($AK$5,,,AO151,1),1)</f>
        <v>0</v>
      </c>
      <c r="AN151" s="120" t="e">
        <f t="shared" si="88"/>
        <v>#N/A</v>
      </c>
      <c r="AO151" s="120">
        <f>ROWS($AO$4:AO151)-1</f>
        <v>147</v>
      </c>
      <c r="AP151" s="255" t="e">
        <f aca="true" t="shared" si="111" ref="AP151:AP182">AN151-AO151</f>
        <v>#N/A</v>
      </c>
      <c r="AQ151" s="120" t="e">
        <f t="shared" si="89"/>
        <v>#N/A</v>
      </c>
      <c r="AR151" s="120" t="e">
        <f t="shared" si="81"/>
        <v>#N/A</v>
      </c>
      <c r="AS151" s="121">
        <f aca="true" t="shared" si="112" ref="AS151:AS182">IF(I151&gt;3500,I151/1000,1)</f>
        <v>1</v>
      </c>
      <c r="AT151" s="120" t="str">
        <f aca="true" t="shared" si="113" ref="AT151:AT182">IF(ISBLANK(F151)=TRUE," ",IF(LEFT(F151,1)="4",0,IF(I151&lt;=1700,1,IF(I151&lt;=2500,2,IF(I151&lt;=3500,3,4)))))</f>
        <v> </v>
      </c>
      <c r="AU151" s="120" t="str">
        <f aca="true" t="shared" si="114" ref="AU151:AU182">IF(ISBLANK(J151)=TRUE," ",IF(LEFT(F151,1)="1",IF(I151&lt;=3500,1,IF(I151&lt;=5000,2,3)),IF(LEFT(F151,1)="6",IF(I151&lt;=3500,1,IF(I151&lt;=5000,2,3)),"")))</f>
        <v> </v>
      </c>
      <c r="AV151" s="120" t="e">
        <f t="shared" si="90"/>
        <v>#N/A</v>
      </c>
      <c r="AW151" s="120" t="e">
        <f t="shared" si="91"/>
        <v>#N/A</v>
      </c>
      <c r="AX151" s="120">
        <f t="shared" si="92"/>
      </c>
      <c r="AY151" s="120" t="e">
        <f t="shared" si="93"/>
        <v>#N/A</v>
      </c>
      <c r="AZ151" s="120" t="e">
        <f>VLOOKUP(AY151,'排出係数表'!$A$4:$C$202,2,FALSE)</f>
        <v>#N/A</v>
      </c>
      <c r="BA151" s="120" t="e">
        <f t="shared" si="94"/>
        <v>#N/A</v>
      </c>
      <c r="BB151" s="120" t="e">
        <f>VLOOKUP(AY151,'排出係数表'!$A$4:$C$202,3,FALSE)</f>
        <v>#N/A</v>
      </c>
      <c r="BC151" s="120" t="e">
        <f t="shared" si="95"/>
        <v>#N/A</v>
      </c>
      <c r="BD151" s="120">
        <f t="shared" si="106"/>
        <v>1</v>
      </c>
      <c r="BE151" s="122">
        <f t="shared" si="96"/>
      </c>
      <c r="BF151" s="123" t="e">
        <f aca="true" t="shared" si="115" ref="BF151:BF164">VALUE(LEFT(J151,2))</f>
        <v>#VALUE!</v>
      </c>
      <c r="BG151" s="122">
        <f t="shared" si="107"/>
      </c>
      <c r="BH151" s="120" t="e">
        <f t="shared" si="108"/>
        <v>#VALUE!</v>
      </c>
      <c r="BI151" s="120" t="e">
        <f t="shared" si="109"/>
        <v>#VALUE!</v>
      </c>
      <c r="BJ151" s="122" t="e">
        <f>VLOOKUP(AY151,'排出係数表'!$A$4:$D$202,4)</f>
        <v>#N/A</v>
      </c>
      <c r="BK151" s="257">
        <f t="shared" si="80"/>
      </c>
    </row>
    <row r="152" spans="1:63" s="124" customFormat="1" ht="13.5" customHeight="1">
      <c r="A152" s="120"/>
      <c r="B152" s="120"/>
      <c r="C152" s="155"/>
      <c r="D152" s="155"/>
      <c r="E152" s="155"/>
      <c r="F152" s="155"/>
      <c r="G152" s="156"/>
      <c r="H152" s="157"/>
      <c r="I152" s="155"/>
      <c r="J152" s="155"/>
      <c r="K152" s="158"/>
      <c r="L152" s="159"/>
      <c r="M152" s="244"/>
      <c r="N152" s="155"/>
      <c r="O152" s="345">
        <f t="shared" si="97"/>
      </c>
      <c r="P152" s="345">
        <f t="shared" si="83"/>
      </c>
      <c r="Q152" s="508"/>
      <c r="R152" s="346"/>
      <c r="S152" s="347"/>
      <c r="T152" s="348"/>
      <c r="U152" s="347"/>
      <c r="V152" s="348"/>
      <c r="W152" s="347"/>
      <c r="X152" s="348"/>
      <c r="Y152" s="347"/>
      <c r="Z152" s="348"/>
      <c r="AA152" s="340" t="e">
        <f t="shared" si="84"/>
        <v>#N/A</v>
      </c>
      <c r="AB152" s="339">
        <f t="shared" si="98"/>
      </c>
      <c r="AC152" s="339">
        <f t="shared" si="99"/>
      </c>
      <c r="AD152" s="255">
        <f t="shared" si="100"/>
      </c>
      <c r="AE152" s="256">
        <f t="shared" si="101"/>
      </c>
      <c r="AF152" s="256">
        <f t="shared" si="102"/>
      </c>
      <c r="AG152" s="255">
        <f t="shared" si="103"/>
      </c>
      <c r="AH152" s="255">
        <f t="shared" si="85"/>
      </c>
      <c r="AI152" s="255">
        <f t="shared" si="104"/>
      </c>
      <c r="AJ152" s="255">
        <f t="shared" si="105"/>
      </c>
      <c r="AK152" s="255">
        <f t="shared" si="86"/>
      </c>
      <c r="AL152" s="255">
        <f t="shared" si="87"/>
      </c>
      <c r="AM152" s="120">
        <f ca="1" t="shared" si="110"/>
        <v>0</v>
      </c>
      <c r="AN152" s="120" t="e">
        <f t="shared" si="88"/>
        <v>#N/A</v>
      </c>
      <c r="AO152" s="120">
        <f>ROWS($AO$4:AO152)-1</f>
        <v>148</v>
      </c>
      <c r="AP152" s="255" t="e">
        <f t="shared" si="111"/>
        <v>#N/A</v>
      </c>
      <c r="AQ152" s="120" t="e">
        <f t="shared" si="89"/>
        <v>#N/A</v>
      </c>
      <c r="AR152" s="120" t="e">
        <f t="shared" si="81"/>
        <v>#N/A</v>
      </c>
      <c r="AS152" s="121">
        <f t="shared" si="112"/>
        <v>1</v>
      </c>
      <c r="AT152" s="120" t="str">
        <f t="shared" si="113"/>
        <v> </v>
      </c>
      <c r="AU152" s="120" t="str">
        <f t="shared" si="114"/>
        <v> </v>
      </c>
      <c r="AV152" s="120" t="e">
        <f t="shared" si="90"/>
        <v>#N/A</v>
      </c>
      <c r="AW152" s="120" t="e">
        <f t="shared" si="91"/>
        <v>#N/A</v>
      </c>
      <c r="AX152" s="120">
        <f t="shared" si="92"/>
      </c>
      <c r="AY152" s="120" t="e">
        <f t="shared" si="93"/>
        <v>#N/A</v>
      </c>
      <c r="AZ152" s="120" t="e">
        <f>VLOOKUP(AY152,'排出係数表'!$A$4:$C$202,2,FALSE)</f>
        <v>#N/A</v>
      </c>
      <c r="BA152" s="120" t="e">
        <f t="shared" si="94"/>
        <v>#N/A</v>
      </c>
      <c r="BB152" s="120" t="e">
        <f>VLOOKUP(AY152,'排出係数表'!$A$4:$C$202,3,FALSE)</f>
        <v>#N/A</v>
      </c>
      <c r="BC152" s="120" t="e">
        <f t="shared" si="95"/>
        <v>#N/A</v>
      </c>
      <c r="BD152" s="120">
        <f t="shared" si="106"/>
        <v>1</v>
      </c>
      <c r="BE152" s="122">
        <f t="shared" si="96"/>
      </c>
      <c r="BF152" s="123" t="e">
        <f t="shared" si="115"/>
        <v>#VALUE!</v>
      </c>
      <c r="BG152" s="122">
        <f t="shared" si="107"/>
      </c>
      <c r="BH152" s="120" t="e">
        <f t="shared" si="108"/>
        <v>#VALUE!</v>
      </c>
      <c r="BI152" s="120" t="e">
        <f t="shared" si="109"/>
        <v>#VALUE!</v>
      </c>
      <c r="BJ152" s="122" t="e">
        <f>VLOOKUP(AY152,'排出係数表'!$A$4:$D$202,4)</f>
        <v>#N/A</v>
      </c>
      <c r="BK152" s="257">
        <f t="shared" si="80"/>
      </c>
    </row>
    <row r="153" spans="1:63" s="124" customFormat="1" ht="13.5" customHeight="1">
      <c r="A153" s="120"/>
      <c r="B153" s="120"/>
      <c r="C153" s="155"/>
      <c r="D153" s="155"/>
      <c r="E153" s="155"/>
      <c r="F153" s="155"/>
      <c r="G153" s="156"/>
      <c r="H153" s="157"/>
      <c r="I153" s="155"/>
      <c r="J153" s="155"/>
      <c r="K153" s="158"/>
      <c r="L153" s="159"/>
      <c r="M153" s="244"/>
      <c r="N153" s="155"/>
      <c r="O153" s="345">
        <f t="shared" si="97"/>
      </c>
      <c r="P153" s="345">
        <f t="shared" si="83"/>
      </c>
      <c r="Q153" s="508"/>
      <c r="R153" s="346"/>
      <c r="S153" s="347"/>
      <c r="T153" s="348"/>
      <c r="U153" s="347"/>
      <c r="V153" s="348"/>
      <c r="W153" s="347"/>
      <c r="X153" s="348"/>
      <c r="Y153" s="347"/>
      <c r="Z153" s="348"/>
      <c r="AA153" s="340" t="e">
        <f t="shared" si="84"/>
        <v>#N/A</v>
      </c>
      <c r="AB153" s="339">
        <f t="shared" si="98"/>
      </c>
      <c r="AC153" s="339">
        <f t="shared" si="99"/>
      </c>
      <c r="AD153" s="255">
        <f t="shared" si="100"/>
      </c>
      <c r="AE153" s="256">
        <f t="shared" si="101"/>
      </c>
      <c r="AF153" s="256">
        <f t="shared" si="102"/>
      </c>
      <c r="AG153" s="255">
        <f t="shared" si="103"/>
      </c>
      <c r="AH153" s="255">
        <f t="shared" si="85"/>
      </c>
      <c r="AI153" s="255">
        <f t="shared" si="104"/>
      </c>
      <c r="AJ153" s="255">
        <f t="shared" si="105"/>
      </c>
      <c r="AK153" s="255">
        <f t="shared" si="86"/>
      </c>
      <c r="AL153" s="255">
        <f t="shared" si="87"/>
      </c>
      <c r="AM153" s="120">
        <f ca="1" t="shared" si="110"/>
        <v>0</v>
      </c>
      <c r="AN153" s="120" t="e">
        <f t="shared" si="88"/>
        <v>#N/A</v>
      </c>
      <c r="AO153" s="120">
        <f>ROWS($AO$4:AO153)-1</f>
        <v>149</v>
      </c>
      <c r="AP153" s="255" t="e">
        <f t="shared" si="111"/>
        <v>#N/A</v>
      </c>
      <c r="AQ153" s="120" t="e">
        <f t="shared" si="89"/>
        <v>#N/A</v>
      </c>
      <c r="AR153" s="120" t="e">
        <f t="shared" si="81"/>
        <v>#N/A</v>
      </c>
      <c r="AS153" s="121">
        <f t="shared" si="112"/>
        <v>1</v>
      </c>
      <c r="AT153" s="120" t="str">
        <f t="shared" si="113"/>
        <v> </v>
      </c>
      <c r="AU153" s="120" t="str">
        <f t="shared" si="114"/>
        <v> </v>
      </c>
      <c r="AV153" s="120" t="e">
        <f t="shared" si="90"/>
        <v>#N/A</v>
      </c>
      <c r="AW153" s="120" t="e">
        <f t="shared" si="91"/>
        <v>#N/A</v>
      </c>
      <c r="AX153" s="120">
        <f t="shared" si="92"/>
      </c>
      <c r="AY153" s="120" t="e">
        <f t="shared" si="93"/>
        <v>#N/A</v>
      </c>
      <c r="AZ153" s="120" t="e">
        <f>VLOOKUP(AY153,'排出係数表'!$A$4:$C$202,2,FALSE)</f>
        <v>#N/A</v>
      </c>
      <c r="BA153" s="120" t="e">
        <f t="shared" si="94"/>
        <v>#N/A</v>
      </c>
      <c r="BB153" s="120" t="e">
        <f>VLOOKUP(AY153,'排出係数表'!$A$4:$C$202,3,FALSE)</f>
        <v>#N/A</v>
      </c>
      <c r="BC153" s="120" t="e">
        <f t="shared" si="95"/>
        <v>#N/A</v>
      </c>
      <c r="BD153" s="120">
        <f t="shared" si="106"/>
        <v>1</v>
      </c>
      <c r="BE153" s="122">
        <f t="shared" si="96"/>
      </c>
      <c r="BF153" s="123" t="e">
        <f t="shared" si="115"/>
        <v>#VALUE!</v>
      </c>
      <c r="BG153" s="122">
        <f t="shared" si="107"/>
      </c>
      <c r="BH153" s="120" t="e">
        <f t="shared" si="108"/>
        <v>#VALUE!</v>
      </c>
      <c r="BI153" s="120" t="e">
        <f t="shared" si="109"/>
        <v>#VALUE!</v>
      </c>
      <c r="BJ153" s="122" t="e">
        <f>VLOOKUP(AY153,'排出係数表'!$A$4:$D$202,4)</f>
        <v>#N/A</v>
      </c>
      <c r="BK153" s="257">
        <f aca="true" t="shared" si="116" ref="BK153:BK216">LEFT(K153,4)&amp;LEFT(L153,2)</f>
      </c>
    </row>
    <row r="154" spans="1:63" s="124" customFormat="1" ht="13.5" customHeight="1">
      <c r="A154" s="120"/>
      <c r="B154" s="120"/>
      <c r="C154" s="155"/>
      <c r="D154" s="155"/>
      <c r="E154" s="155"/>
      <c r="F154" s="155"/>
      <c r="G154" s="156"/>
      <c r="H154" s="157"/>
      <c r="I154" s="155"/>
      <c r="J154" s="155"/>
      <c r="K154" s="158"/>
      <c r="L154" s="159"/>
      <c r="M154" s="244"/>
      <c r="N154" s="155"/>
      <c r="O154" s="345">
        <f t="shared" si="97"/>
      </c>
      <c r="P154" s="345">
        <f t="shared" si="83"/>
      </c>
      <c r="Q154" s="508"/>
      <c r="R154" s="346"/>
      <c r="S154" s="347"/>
      <c r="T154" s="348"/>
      <c r="U154" s="347"/>
      <c r="V154" s="348"/>
      <c r="W154" s="347"/>
      <c r="X154" s="348"/>
      <c r="Y154" s="347"/>
      <c r="Z154" s="348"/>
      <c r="AA154" s="340" t="e">
        <f t="shared" si="84"/>
        <v>#N/A</v>
      </c>
      <c r="AB154" s="339">
        <f t="shared" si="98"/>
      </c>
      <c r="AC154" s="339">
        <f t="shared" si="99"/>
      </c>
      <c r="AD154" s="255">
        <f t="shared" si="100"/>
      </c>
      <c r="AE154" s="256">
        <f t="shared" si="101"/>
      </c>
      <c r="AF154" s="256">
        <f t="shared" si="102"/>
      </c>
      <c r="AG154" s="255">
        <f t="shared" si="103"/>
      </c>
      <c r="AH154" s="255">
        <f t="shared" si="85"/>
      </c>
      <c r="AI154" s="255">
        <f t="shared" si="104"/>
      </c>
      <c r="AJ154" s="255">
        <f t="shared" si="105"/>
      </c>
      <c r="AK154" s="255">
        <f t="shared" si="86"/>
      </c>
      <c r="AL154" s="255">
        <f t="shared" si="87"/>
      </c>
      <c r="AM154" s="120">
        <f ca="1" t="shared" si="110"/>
        <v>0</v>
      </c>
      <c r="AN154" s="120" t="e">
        <f t="shared" si="88"/>
        <v>#N/A</v>
      </c>
      <c r="AO154" s="120">
        <f>ROWS($AO$4:AO154)-1</f>
        <v>150</v>
      </c>
      <c r="AP154" s="255" t="e">
        <f t="shared" si="111"/>
        <v>#N/A</v>
      </c>
      <c r="AQ154" s="120" t="e">
        <f t="shared" si="89"/>
        <v>#N/A</v>
      </c>
      <c r="AR154" s="120" t="e">
        <f t="shared" si="81"/>
        <v>#N/A</v>
      </c>
      <c r="AS154" s="121">
        <f t="shared" si="112"/>
        <v>1</v>
      </c>
      <c r="AT154" s="120" t="str">
        <f t="shared" si="113"/>
        <v> </v>
      </c>
      <c r="AU154" s="120" t="str">
        <f t="shared" si="114"/>
        <v> </v>
      </c>
      <c r="AV154" s="120" t="e">
        <f t="shared" si="90"/>
        <v>#N/A</v>
      </c>
      <c r="AW154" s="120" t="e">
        <f t="shared" si="91"/>
        <v>#N/A</v>
      </c>
      <c r="AX154" s="120">
        <f t="shared" si="92"/>
      </c>
      <c r="AY154" s="120" t="e">
        <f t="shared" si="93"/>
        <v>#N/A</v>
      </c>
      <c r="AZ154" s="120" t="e">
        <f>VLOOKUP(AY154,'排出係数表'!$A$4:$C$202,2,FALSE)</f>
        <v>#N/A</v>
      </c>
      <c r="BA154" s="120" t="e">
        <f t="shared" si="94"/>
        <v>#N/A</v>
      </c>
      <c r="BB154" s="120" t="e">
        <f>VLOOKUP(AY154,'排出係数表'!$A$4:$C$202,3,FALSE)</f>
        <v>#N/A</v>
      </c>
      <c r="BC154" s="120" t="e">
        <f t="shared" si="95"/>
        <v>#N/A</v>
      </c>
      <c r="BD154" s="120">
        <f t="shared" si="106"/>
        <v>1</v>
      </c>
      <c r="BE154" s="122">
        <f t="shared" si="96"/>
      </c>
      <c r="BF154" s="123" t="e">
        <f t="shared" si="115"/>
        <v>#VALUE!</v>
      </c>
      <c r="BG154" s="122">
        <f t="shared" si="107"/>
      </c>
      <c r="BH154" s="120" t="e">
        <f t="shared" si="108"/>
        <v>#VALUE!</v>
      </c>
      <c r="BI154" s="120" t="e">
        <f t="shared" si="109"/>
        <v>#VALUE!</v>
      </c>
      <c r="BJ154" s="122" t="e">
        <f>VLOOKUP(AY154,'排出係数表'!$A$4:$D$202,4)</f>
        <v>#N/A</v>
      </c>
      <c r="BK154" s="257">
        <f t="shared" si="116"/>
      </c>
    </row>
    <row r="155" spans="1:63" s="124" customFormat="1" ht="13.5" customHeight="1">
      <c r="A155" s="120"/>
      <c r="B155" s="120"/>
      <c r="C155" s="155"/>
      <c r="D155" s="155"/>
      <c r="E155" s="155"/>
      <c r="F155" s="155"/>
      <c r="G155" s="156"/>
      <c r="H155" s="157"/>
      <c r="I155" s="155"/>
      <c r="J155" s="155"/>
      <c r="K155" s="158"/>
      <c r="L155" s="159"/>
      <c r="M155" s="244"/>
      <c r="N155" s="155"/>
      <c r="O155" s="345">
        <f t="shared" si="97"/>
      </c>
      <c r="P155" s="345">
        <f t="shared" si="83"/>
      </c>
      <c r="Q155" s="508"/>
      <c r="R155" s="346"/>
      <c r="S155" s="347"/>
      <c r="T155" s="348"/>
      <c r="U155" s="347"/>
      <c r="V155" s="348"/>
      <c r="W155" s="347"/>
      <c r="X155" s="348"/>
      <c r="Y155" s="347"/>
      <c r="Z155" s="348"/>
      <c r="AA155" s="340" t="e">
        <f t="shared" si="84"/>
        <v>#N/A</v>
      </c>
      <c r="AB155" s="339">
        <f t="shared" si="98"/>
      </c>
      <c r="AC155" s="339">
        <f t="shared" si="99"/>
      </c>
      <c r="AD155" s="255">
        <f t="shared" si="100"/>
      </c>
      <c r="AE155" s="256">
        <f t="shared" si="101"/>
      </c>
      <c r="AF155" s="256">
        <f t="shared" si="102"/>
      </c>
      <c r="AG155" s="255">
        <f t="shared" si="103"/>
      </c>
      <c r="AH155" s="255">
        <f t="shared" si="85"/>
      </c>
      <c r="AI155" s="255">
        <f t="shared" si="104"/>
      </c>
      <c r="AJ155" s="255">
        <f t="shared" si="105"/>
      </c>
      <c r="AK155" s="255">
        <f t="shared" si="86"/>
      </c>
      <c r="AL155" s="255">
        <f t="shared" si="87"/>
      </c>
      <c r="AM155" s="120">
        <f ca="1" t="shared" si="110"/>
        <v>0</v>
      </c>
      <c r="AN155" s="120" t="e">
        <f t="shared" si="88"/>
        <v>#N/A</v>
      </c>
      <c r="AO155" s="120">
        <f>ROWS($AO$4:AO155)-1</f>
        <v>151</v>
      </c>
      <c r="AP155" s="255" t="e">
        <f t="shared" si="111"/>
        <v>#N/A</v>
      </c>
      <c r="AQ155" s="120" t="e">
        <f t="shared" si="89"/>
        <v>#N/A</v>
      </c>
      <c r="AR155" s="120" t="e">
        <f t="shared" si="81"/>
        <v>#N/A</v>
      </c>
      <c r="AS155" s="121">
        <f t="shared" si="112"/>
        <v>1</v>
      </c>
      <c r="AT155" s="120" t="str">
        <f t="shared" si="113"/>
        <v> </v>
      </c>
      <c r="AU155" s="120" t="str">
        <f t="shared" si="114"/>
        <v> </v>
      </c>
      <c r="AV155" s="120" t="e">
        <f t="shared" si="90"/>
        <v>#N/A</v>
      </c>
      <c r="AW155" s="120" t="e">
        <f t="shared" si="91"/>
        <v>#N/A</v>
      </c>
      <c r="AX155" s="120">
        <f t="shared" si="92"/>
      </c>
      <c r="AY155" s="120" t="e">
        <f t="shared" si="93"/>
        <v>#N/A</v>
      </c>
      <c r="AZ155" s="120" t="e">
        <f>VLOOKUP(AY155,'排出係数表'!$A$4:$C$202,2,FALSE)</f>
        <v>#N/A</v>
      </c>
      <c r="BA155" s="120" t="e">
        <f t="shared" si="94"/>
        <v>#N/A</v>
      </c>
      <c r="BB155" s="120" t="e">
        <f>VLOOKUP(AY155,'排出係数表'!$A$4:$C$202,3,FALSE)</f>
        <v>#N/A</v>
      </c>
      <c r="BC155" s="120" t="e">
        <f t="shared" si="95"/>
        <v>#N/A</v>
      </c>
      <c r="BD155" s="120">
        <f t="shared" si="106"/>
        <v>1</v>
      </c>
      <c r="BE155" s="122">
        <f t="shared" si="96"/>
      </c>
      <c r="BF155" s="123" t="e">
        <f t="shared" si="115"/>
        <v>#VALUE!</v>
      </c>
      <c r="BG155" s="122">
        <f t="shared" si="107"/>
      </c>
      <c r="BH155" s="120" t="e">
        <f t="shared" si="108"/>
        <v>#VALUE!</v>
      </c>
      <c r="BI155" s="120" t="e">
        <f t="shared" si="109"/>
        <v>#VALUE!</v>
      </c>
      <c r="BJ155" s="122" t="e">
        <f>VLOOKUP(AY155,'排出係数表'!$A$4:$D$202,4)</f>
        <v>#N/A</v>
      </c>
      <c r="BK155" s="257">
        <f t="shared" si="116"/>
      </c>
    </row>
    <row r="156" spans="1:63" s="124" customFormat="1" ht="13.5" customHeight="1">
      <c r="A156" s="120"/>
      <c r="B156" s="120"/>
      <c r="C156" s="155"/>
      <c r="D156" s="155"/>
      <c r="E156" s="155"/>
      <c r="F156" s="155"/>
      <c r="G156" s="156"/>
      <c r="H156" s="157"/>
      <c r="I156" s="155"/>
      <c r="J156" s="155"/>
      <c r="K156" s="158"/>
      <c r="L156" s="159"/>
      <c r="M156" s="244"/>
      <c r="N156" s="155"/>
      <c r="O156" s="345">
        <f t="shared" si="97"/>
      </c>
      <c r="P156" s="345">
        <f t="shared" si="83"/>
      </c>
      <c r="Q156" s="508"/>
      <c r="R156" s="346"/>
      <c r="S156" s="347"/>
      <c r="T156" s="348"/>
      <c r="U156" s="347"/>
      <c r="V156" s="348"/>
      <c r="W156" s="347"/>
      <c r="X156" s="348"/>
      <c r="Y156" s="347"/>
      <c r="Z156" s="348"/>
      <c r="AA156" s="340" t="e">
        <f t="shared" si="84"/>
        <v>#N/A</v>
      </c>
      <c r="AB156" s="339">
        <f t="shared" si="98"/>
      </c>
      <c r="AC156" s="339">
        <f t="shared" si="99"/>
      </c>
      <c r="AD156" s="255">
        <f t="shared" si="100"/>
      </c>
      <c r="AE156" s="256">
        <f t="shared" si="101"/>
      </c>
      <c r="AF156" s="256">
        <f t="shared" si="102"/>
      </c>
      <c r="AG156" s="255">
        <f t="shared" si="103"/>
      </c>
      <c r="AH156" s="255">
        <f t="shared" si="85"/>
      </c>
      <c r="AI156" s="255">
        <f t="shared" si="104"/>
      </c>
      <c r="AJ156" s="255">
        <f t="shared" si="105"/>
      </c>
      <c r="AK156" s="255">
        <f t="shared" si="86"/>
      </c>
      <c r="AL156" s="255">
        <f t="shared" si="87"/>
      </c>
      <c r="AM156" s="120">
        <f ca="1" t="shared" si="110"/>
        <v>0</v>
      </c>
      <c r="AN156" s="120" t="e">
        <f t="shared" si="88"/>
        <v>#N/A</v>
      </c>
      <c r="AO156" s="120">
        <f>ROWS($AO$4:AO156)-1</f>
        <v>152</v>
      </c>
      <c r="AP156" s="255" t="e">
        <f t="shared" si="111"/>
        <v>#N/A</v>
      </c>
      <c r="AQ156" s="120" t="e">
        <f t="shared" si="89"/>
        <v>#N/A</v>
      </c>
      <c r="AR156" s="120" t="e">
        <f t="shared" si="81"/>
        <v>#N/A</v>
      </c>
      <c r="AS156" s="121">
        <f t="shared" si="112"/>
        <v>1</v>
      </c>
      <c r="AT156" s="120" t="str">
        <f t="shared" si="113"/>
        <v> </v>
      </c>
      <c r="AU156" s="120" t="str">
        <f t="shared" si="114"/>
        <v> </v>
      </c>
      <c r="AV156" s="120" t="e">
        <f t="shared" si="90"/>
        <v>#N/A</v>
      </c>
      <c r="AW156" s="120" t="e">
        <f t="shared" si="91"/>
        <v>#N/A</v>
      </c>
      <c r="AX156" s="120">
        <f t="shared" si="92"/>
      </c>
      <c r="AY156" s="120" t="e">
        <f t="shared" si="93"/>
        <v>#N/A</v>
      </c>
      <c r="AZ156" s="120" t="e">
        <f>VLOOKUP(AY156,'排出係数表'!$A$4:$C$202,2,FALSE)</f>
        <v>#N/A</v>
      </c>
      <c r="BA156" s="120" t="e">
        <f t="shared" si="94"/>
        <v>#N/A</v>
      </c>
      <c r="BB156" s="120" t="e">
        <f>VLOOKUP(AY156,'排出係数表'!$A$4:$C$202,3,FALSE)</f>
        <v>#N/A</v>
      </c>
      <c r="BC156" s="120" t="e">
        <f t="shared" si="95"/>
        <v>#N/A</v>
      </c>
      <c r="BD156" s="120">
        <f t="shared" si="106"/>
        <v>1</v>
      </c>
      <c r="BE156" s="122">
        <f t="shared" si="96"/>
      </c>
      <c r="BF156" s="123" t="e">
        <f t="shared" si="115"/>
        <v>#VALUE!</v>
      </c>
      <c r="BG156" s="122">
        <f t="shared" si="107"/>
      </c>
      <c r="BH156" s="120" t="e">
        <f t="shared" si="108"/>
        <v>#VALUE!</v>
      </c>
      <c r="BI156" s="120" t="e">
        <f t="shared" si="109"/>
        <v>#VALUE!</v>
      </c>
      <c r="BJ156" s="122" t="e">
        <f>VLOOKUP(AY156,'排出係数表'!$A$4:$D$202,4)</f>
        <v>#N/A</v>
      </c>
      <c r="BK156" s="257">
        <f t="shared" si="116"/>
      </c>
    </row>
    <row r="157" spans="1:63" s="124" customFormat="1" ht="13.5" customHeight="1">
      <c r="A157" s="120"/>
      <c r="B157" s="120"/>
      <c r="C157" s="155"/>
      <c r="D157" s="155"/>
      <c r="E157" s="155"/>
      <c r="F157" s="155"/>
      <c r="G157" s="156"/>
      <c r="H157" s="157"/>
      <c r="I157" s="155"/>
      <c r="J157" s="155"/>
      <c r="K157" s="158"/>
      <c r="L157" s="159"/>
      <c r="M157" s="244"/>
      <c r="N157" s="155"/>
      <c r="O157" s="345">
        <f t="shared" si="97"/>
      </c>
      <c r="P157" s="345">
        <f t="shared" si="83"/>
      </c>
      <c r="Q157" s="508"/>
      <c r="R157" s="346"/>
      <c r="S157" s="347"/>
      <c r="T157" s="348"/>
      <c r="U157" s="347"/>
      <c r="V157" s="348"/>
      <c r="W157" s="347"/>
      <c r="X157" s="348"/>
      <c r="Y157" s="347"/>
      <c r="Z157" s="348"/>
      <c r="AA157" s="340" t="e">
        <f t="shared" si="84"/>
        <v>#N/A</v>
      </c>
      <c r="AB157" s="339">
        <f t="shared" si="98"/>
      </c>
      <c r="AC157" s="339">
        <f t="shared" si="99"/>
      </c>
      <c r="AD157" s="255">
        <f t="shared" si="100"/>
      </c>
      <c r="AE157" s="256">
        <f t="shared" si="101"/>
      </c>
      <c r="AF157" s="256">
        <f t="shared" si="102"/>
      </c>
      <c r="AG157" s="255">
        <f t="shared" si="103"/>
      </c>
      <c r="AH157" s="255">
        <f t="shared" si="85"/>
      </c>
      <c r="AI157" s="255">
        <f t="shared" si="104"/>
      </c>
      <c r="AJ157" s="255">
        <f t="shared" si="105"/>
      </c>
      <c r="AK157" s="255">
        <f t="shared" si="86"/>
      </c>
      <c r="AL157" s="255">
        <f t="shared" si="87"/>
      </c>
      <c r="AM157" s="120">
        <f ca="1" t="shared" si="110"/>
        <v>0</v>
      </c>
      <c r="AN157" s="120" t="e">
        <f t="shared" si="88"/>
        <v>#N/A</v>
      </c>
      <c r="AO157" s="120">
        <f>ROWS($AO$4:AO157)-1</f>
        <v>153</v>
      </c>
      <c r="AP157" s="255" t="e">
        <f t="shared" si="111"/>
        <v>#N/A</v>
      </c>
      <c r="AQ157" s="120" t="e">
        <f t="shared" si="89"/>
        <v>#N/A</v>
      </c>
      <c r="AR157" s="120" t="e">
        <f t="shared" si="81"/>
        <v>#N/A</v>
      </c>
      <c r="AS157" s="121">
        <f t="shared" si="112"/>
        <v>1</v>
      </c>
      <c r="AT157" s="120" t="str">
        <f t="shared" si="113"/>
        <v> </v>
      </c>
      <c r="AU157" s="120" t="str">
        <f t="shared" si="114"/>
        <v> </v>
      </c>
      <c r="AV157" s="120" t="e">
        <f t="shared" si="90"/>
        <v>#N/A</v>
      </c>
      <c r="AW157" s="120" t="e">
        <f t="shared" si="91"/>
        <v>#N/A</v>
      </c>
      <c r="AX157" s="120">
        <f t="shared" si="92"/>
      </c>
      <c r="AY157" s="120" t="e">
        <f t="shared" si="93"/>
        <v>#N/A</v>
      </c>
      <c r="AZ157" s="120" t="e">
        <f>VLOOKUP(AY157,'排出係数表'!$A$4:$C$202,2,FALSE)</f>
        <v>#N/A</v>
      </c>
      <c r="BA157" s="120" t="e">
        <f t="shared" si="94"/>
        <v>#N/A</v>
      </c>
      <c r="BB157" s="120" t="e">
        <f>VLOOKUP(AY157,'排出係数表'!$A$4:$C$202,3,FALSE)</f>
        <v>#N/A</v>
      </c>
      <c r="BC157" s="120" t="e">
        <f t="shared" si="95"/>
        <v>#N/A</v>
      </c>
      <c r="BD157" s="120">
        <f t="shared" si="106"/>
        <v>1</v>
      </c>
      <c r="BE157" s="122">
        <f t="shared" si="96"/>
      </c>
      <c r="BF157" s="123" t="e">
        <f t="shared" si="115"/>
        <v>#VALUE!</v>
      </c>
      <c r="BG157" s="122">
        <f t="shared" si="107"/>
      </c>
      <c r="BH157" s="120" t="e">
        <f t="shared" si="108"/>
        <v>#VALUE!</v>
      </c>
      <c r="BI157" s="120" t="e">
        <f t="shared" si="109"/>
        <v>#VALUE!</v>
      </c>
      <c r="BJ157" s="122" t="e">
        <f>VLOOKUP(AY157,'排出係数表'!$A$4:$D$202,4)</f>
        <v>#N/A</v>
      </c>
      <c r="BK157" s="257">
        <f t="shared" si="116"/>
      </c>
    </row>
    <row r="158" spans="1:63" s="124" customFormat="1" ht="13.5" customHeight="1">
      <c r="A158" s="120"/>
      <c r="B158" s="120"/>
      <c r="C158" s="155"/>
      <c r="D158" s="155"/>
      <c r="E158" s="155"/>
      <c r="F158" s="155"/>
      <c r="G158" s="156"/>
      <c r="H158" s="157"/>
      <c r="I158" s="155"/>
      <c r="J158" s="155"/>
      <c r="K158" s="158"/>
      <c r="L158" s="159"/>
      <c r="M158" s="244"/>
      <c r="N158" s="155"/>
      <c r="O158" s="345">
        <f t="shared" si="97"/>
      </c>
      <c r="P158" s="345">
        <f t="shared" si="83"/>
      </c>
      <c r="Q158" s="508"/>
      <c r="R158" s="346"/>
      <c r="S158" s="347"/>
      <c r="T158" s="348"/>
      <c r="U158" s="347"/>
      <c r="V158" s="348"/>
      <c r="W158" s="347"/>
      <c r="X158" s="348"/>
      <c r="Y158" s="347"/>
      <c r="Z158" s="348"/>
      <c r="AA158" s="340" t="e">
        <f t="shared" si="84"/>
        <v>#N/A</v>
      </c>
      <c r="AB158" s="339">
        <f t="shared" si="98"/>
      </c>
      <c r="AC158" s="339">
        <f t="shared" si="99"/>
      </c>
      <c r="AD158" s="255">
        <f t="shared" si="100"/>
      </c>
      <c r="AE158" s="256">
        <f t="shared" si="101"/>
      </c>
      <c r="AF158" s="256">
        <f t="shared" si="102"/>
      </c>
      <c r="AG158" s="255">
        <f t="shared" si="103"/>
      </c>
      <c r="AH158" s="255">
        <f t="shared" si="85"/>
      </c>
      <c r="AI158" s="255">
        <f t="shared" si="104"/>
      </c>
      <c r="AJ158" s="255">
        <f t="shared" si="105"/>
      </c>
      <c r="AK158" s="255">
        <f t="shared" si="86"/>
      </c>
      <c r="AL158" s="255">
        <f t="shared" si="87"/>
      </c>
      <c r="AM158" s="120">
        <f ca="1" t="shared" si="110"/>
        <v>0</v>
      </c>
      <c r="AN158" s="120" t="e">
        <f t="shared" si="88"/>
        <v>#N/A</v>
      </c>
      <c r="AO158" s="120">
        <f>ROWS($AO$4:AO158)-1</f>
        <v>154</v>
      </c>
      <c r="AP158" s="255" t="e">
        <f t="shared" si="111"/>
        <v>#N/A</v>
      </c>
      <c r="AQ158" s="120" t="e">
        <f t="shared" si="89"/>
        <v>#N/A</v>
      </c>
      <c r="AR158" s="120" t="e">
        <f t="shared" si="81"/>
        <v>#N/A</v>
      </c>
      <c r="AS158" s="121">
        <f t="shared" si="112"/>
        <v>1</v>
      </c>
      <c r="AT158" s="120" t="str">
        <f t="shared" si="113"/>
        <v> </v>
      </c>
      <c r="AU158" s="120" t="str">
        <f t="shared" si="114"/>
        <v> </v>
      </c>
      <c r="AV158" s="120" t="e">
        <f t="shared" si="90"/>
        <v>#N/A</v>
      </c>
      <c r="AW158" s="120" t="e">
        <f t="shared" si="91"/>
        <v>#N/A</v>
      </c>
      <c r="AX158" s="120">
        <f t="shared" si="92"/>
      </c>
      <c r="AY158" s="120" t="e">
        <f t="shared" si="93"/>
        <v>#N/A</v>
      </c>
      <c r="AZ158" s="120" t="e">
        <f>VLOOKUP(AY158,'排出係数表'!$A$4:$C$202,2,FALSE)</f>
        <v>#N/A</v>
      </c>
      <c r="BA158" s="120" t="e">
        <f t="shared" si="94"/>
        <v>#N/A</v>
      </c>
      <c r="BB158" s="120" t="e">
        <f>VLOOKUP(AY158,'排出係数表'!$A$4:$C$202,3,FALSE)</f>
        <v>#N/A</v>
      </c>
      <c r="BC158" s="120" t="e">
        <f t="shared" si="95"/>
        <v>#N/A</v>
      </c>
      <c r="BD158" s="120">
        <f t="shared" si="106"/>
        <v>1</v>
      </c>
      <c r="BE158" s="122">
        <f t="shared" si="96"/>
      </c>
      <c r="BF158" s="123" t="e">
        <f t="shared" si="115"/>
        <v>#VALUE!</v>
      </c>
      <c r="BG158" s="122">
        <f t="shared" si="107"/>
      </c>
      <c r="BH158" s="120" t="e">
        <f t="shared" si="108"/>
        <v>#VALUE!</v>
      </c>
      <c r="BI158" s="120" t="e">
        <f t="shared" si="109"/>
        <v>#VALUE!</v>
      </c>
      <c r="BJ158" s="122" t="e">
        <f>VLOOKUP(AY158,'排出係数表'!$A$4:$D$202,4)</f>
        <v>#N/A</v>
      </c>
      <c r="BK158" s="257">
        <f t="shared" si="116"/>
      </c>
    </row>
    <row r="159" spans="1:63" s="124" customFormat="1" ht="13.5" customHeight="1">
      <c r="A159" s="120"/>
      <c r="B159" s="120"/>
      <c r="C159" s="155"/>
      <c r="D159" s="155"/>
      <c r="E159" s="155"/>
      <c r="F159" s="155"/>
      <c r="G159" s="156"/>
      <c r="H159" s="157"/>
      <c r="I159" s="155"/>
      <c r="J159" s="155"/>
      <c r="K159" s="158"/>
      <c r="L159" s="159"/>
      <c r="M159" s="244"/>
      <c r="N159" s="155"/>
      <c r="O159" s="345">
        <f t="shared" si="97"/>
      </c>
      <c r="P159" s="345">
        <f t="shared" si="83"/>
      </c>
      <c r="Q159" s="508"/>
      <c r="R159" s="346"/>
      <c r="S159" s="347"/>
      <c r="T159" s="348"/>
      <c r="U159" s="347"/>
      <c r="V159" s="348"/>
      <c r="W159" s="347"/>
      <c r="X159" s="348"/>
      <c r="Y159" s="347"/>
      <c r="Z159" s="348"/>
      <c r="AA159" s="340" t="e">
        <f t="shared" si="84"/>
        <v>#N/A</v>
      </c>
      <c r="AB159" s="339">
        <f t="shared" si="98"/>
      </c>
      <c r="AC159" s="339">
        <f t="shared" si="99"/>
      </c>
      <c r="AD159" s="255">
        <f t="shared" si="100"/>
      </c>
      <c r="AE159" s="256">
        <f t="shared" si="101"/>
      </c>
      <c r="AF159" s="256">
        <f t="shared" si="102"/>
      </c>
      <c r="AG159" s="255">
        <f t="shared" si="103"/>
      </c>
      <c r="AH159" s="255">
        <f t="shared" si="85"/>
      </c>
      <c r="AI159" s="255">
        <f t="shared" si="104"/>
      </c>
      <c r="AJ159" s="255">
        <f t="shared" si="105"/>
      </c>
      <c r="AK159" s="255">
        <f t="shared" si="86"/>
      </c>
      <c r="AL159" s="255">
        <f t="shared" si="87"/>
      </c>
      <c r="AM159" s="120">
        <f ca="1" t="shared" si="110"/>
        <v>0</v>
      </c>
      <c r="AN159" s="120" t="e">
        <f t="shared" si="88"/>
        <v>#N/A</v>
      </c>
      <c r="AO159" s="120">
        <f>ROWS($AO$4:AO159)-1</f>
        <v>155</v>
      </c>
      <c r="AP159" s="255" t="e">
        <f t="shared" si="111"/>
        <v>#N/A</v>
      </c>
      <c r="AQ159" s="120" t="e">
        <f t="shared" si="89"/>
        <v>#N/A</v>
      </c>
      <c r="AR159" s="120" t="e">
        <f t="shared" si="81"/>
        <v>#N/A</v>
      </c>
      <c r="AS159" s="121">
        <f t="shared" si="112"/>
        <v>1</v>
      </c>
      <c r="AT159" s="120" t="str">
        <f t="shared" si="113"/>
        <v> </v>
      </c>
      <c r="AU159" s="120" t="str">
        <f t="shared" si="114"/>
        <v> </v>
      </c>
      <c r="AV159" s="120" t="e">
        <f t="shared" si="90"/>
        <v>#N/A</v>
      </c>
      <c r="AW159" s="120" t="e">
        <f t="shared" si="91"/>
        <v>#N/A</v>
      </c>
      <c r="AX159" s="120">
        <f t="shared" si="92"/>
      </c>
      <c r="AY159" s="120" t="e">
        <f t="shared" si="93"/>
        <v>#N/A</v>
      </c>
      <c r="AZ159" s="120" t="e">
        <f>VLOOKUP(AY159,'排出係数表'!$A$4:$C$202,2,FALSE)</f>
        <v>#N/A</v>
      </c>
      <c r="BA159" s="120" t="e">
        <f t="shared" si="94"/>
        <v>#N/A</v>
      </c>
      <c r="BB159" s="120" t="e">
        <f>VLOOKUP(AY159,'排出係数表'!$A$4:$C$202,3,FALSE)</f>
        <v>#N/A</v>
      </c>
      <c r="BC159" s="120" t="e">
        <f t="shared" si="95"/>
        <v>#N/A</v>
      </c>
      <c r="BD159" s="120">
        <f t="shared" si="106"/>
        <v>1</v>
      </c>
      <c r="BE159" s="122">
        <f t="shared" si="96"/>
      </c>
      <c r="BF159" s="123" t="e">
        <f t="shared" si="115"/>
        <v>#VALUE!</v>
      </c>
      <c r="BG159" s="122">
        <f t="shared" si="107"/>
      </c>
      <c r="BH159" s="120" t="e">
        <f t="shared" si="108"/>
        <v>#VALUE!</v>
      </c>
      <c r="BI159" s="120" t="e">
        <f t="shared" si="109"/>
        <v>#VALUE!</v>
      </c>
      <c r="BJ159" s="122" t="e">
        <f>VLOOKUP(AY159,'排出係数表'!$A$4:$D$202,4)</f>
        <v>#N/A</v>
      </c>
      <c r="BK159" s="257">
        <f t="shared" si="116"/>
      </c>
    </row>
    <row r="160" spans="1:63" s="124" customFormat="1" ht="13.5" customHeight="1">
      <c r="A160" s="120"/>
      <c r="B160" s="120"/>
      <c r="C160" s="155"/>
      <c r="D160" s="155"/>
      <c r="E160" s="155"/>
      <c r="F160" s="155"/>
      <c r="G160" s="156"/>
      <c r="H160" s="157"/>
      <c r="I160" s="155"/>
      <c r="J160" s="155"/>
      <c r="K160" s="158"/>
      <c r="L160" s="159"/>
      <c r="M160" s="244"/>
      <c r="N160" s="155"/>
      <c r="O160" s="345">
        <f t="shared" si="97"/>
      </c>
      <c r="P160" s="345">
        <f t="shared" si="83"/>
      </c>
      <c r="Q160" s="508"/>
      <c r="R160" s="346"/>
      <c r="S160" s="347"/>
      <c r="T160" s="348"/>
      <c r="U160" s="347"/>
      <c r="V160" s="348"/>
      <c r="W160" s="347"/>
      <c r="X160" s="348"/>
      <c r="Y160" s="347"/>
      <c r="Z160" s="348"/>
      <c r="AA160" s="340" t="e">
        <f t="shared" si="84"/>
        <v>#N/A</v>
      </c>
      <c r="AB160" s="339">
        <f t="shared" si="98"/>
      </c>
      <c r="AC160" s="339">
        <f t="shared" si="99"/>
      </c>
      <c r="AD160" s="255">
        <f t="shared" si="100"/>
      </c>
      <c r="AE160" s="256">
        <f t="shared" si="101"/>
      </c>
      <c r="AF160" s="256">
        <f t="shared" si="102"/>
      </c>
      <c r="AG160" s="255">
        <f t="shared" si="103"/>
      </c>
      <c r="AH160" s="255">
        <f t="shared" si="85"/>
      </c>
      <c r="AI160" s="255">
        <f t="shared" si="104"/>
      </c>
      <c r="AJ160" s="255">
        <f t="shared" si="105"/>
      </c>
      <c r="AK160" s="255">
        <f t="shared" si="86"/>
      </c>
      <c r="AL160" s="255">
        <f t="shared" si="87"/>
      </c>
      <c r="AM160" s="120">
        <f ca="1" t="shared" si="110"/>
        <v>0</v>
      </c>
      <c r="AN160" s="120" t="e">
        <f t="shared" si="88"/>
        <v>#N/A</v>
      </c>
      <c r="AO160" s="120">
        <f>ROWS($AO$4:AO160)-1</f>
        <v>156</v>
      </c>
      <c r="AP160" s="255" t="e">
        <f t="shared" si="111"/>
        <v>#N/A</v>
      </c>
      <c r="AQ160" s="120" t="e">
        <f t="shared" si="89"/>
        <v>#N/A</v>
      </c>
      <c r="AR160" s="120" t="e">
        <f t="shared" si="81"/>
        <v>#N/A</v>
      </c>
      <c r="AS160" s="121">
        <f t="shared" si="112"/>
        <v>1</v>
      </c>
      <c r="AT160" s="120" t="str">
        <f t="shared" si="113"/>
        <v> </v>
      </c>
      <c r="AU160" s="120" t="str">
        <f t="shared" si="114"/>
        <v> </v>
      </c>
      <c r="AV160" s="120" t="e">
        <f t="shared" si="90"/>
        <v>#N/A</v>
      </c>
      <c r="AW160" s="120" t="e">
        <f t="shared" si="91"/>
        <v>#N/A</v>
      </c>
      <c r="AX160" s="120">
        <f t="shared" si="92"/>
      </c>
      <c r="AY160" s="120" t="e">
        <f t="shared" si="93"/>
        <v>#N/A</v>
      </c>
      <c r="AZ160" s="120" t="e">
        <f>VLOOKUP(AY160,'排出係数表'!$A$4:$C$202,2,FALSE)</f>
        <v>#N/A</v>
      </c>
      <c r="BA160" s="120" t="e">
        <f t="shared" si="94"/>
        <v>#N/A</v>
      </c>
      <c r="BB160" s="120" t="e">
        <f>VLOOKUP(AY160,'排出係数表'!$A$4:$C$202,3,FALSE)</f>
        <v>#N/A</v>
      </c>
      <c r="BC160" s="120" t="e">
        <f t="shared" si="95"/>
        <v>#N/A</v>
      </c>
      <c r="BD160" s="120">
        <f t="shared" si="106"/>
        <v>1</v>
      </c>
      <c r="BE160" s="122">
        <f t="shared" si="96"/>
      </c>
      <c r="BF160" s="123" t="e">
        <f t="shared" si="115"/>
        <v>#VALUE!</v>
      </c>
      <c r="BG160" s="122">
        <f t="shared" si="107"/>
      </c>
      <c r="BH160" s="120" t="e">
        <f t="shared" si="108"/>
        <v>#VALUE!</v>
      </c>
      <c r="BI160" s="120" t="e">
        <f t="shared" si="109"/>
        <v>#VALUE!</v>
      </c>
      <c r="BJ160" s="122" t="e">
        <f>VLOOKUP(AY160,'排出係数表'!$A$4:$D$202,4)</f>
        <v>#N/A</v>
      </c>
      <c r="BK160" s="257">
        <f t="shared" si="116"/>
      </c>
    </row>
    <row r="161" spans="1:63" s="124" customFormat="1" ht="13.5" customHeight="1">
      <c r="A161" s="120"/>
      <c r="B161" s="120"/>
      <c r="C161" s="155"/>
      <c r="D161" s="155"/>
      <c r="E161" s="155"/>
      <c r="F161" s="155"/>
      <c r="G161" s="156"/>
      <c r="H161" s="157"/>
      <c r="I161" s="155"/>
      <c r="J161" s="155"/>
      <c r="K161" s="158"/>
      <c r="L161" s="159"/>
      <c r="M161" s="244"/>
      <c r="N161" s="155"/>
      <c r="O161" s="345">
        <f t="shared" si="97"/>
      </c>
      <c r="P161" s="345">
        <f t="shared" si="83"/>
      </c>
      <c r="Q161" s="508"/>
      <c r="R161" s="346"/>
      <c r="S161" s="347"/>
      <c r="T161" s="348"/>
      <c r="U161" s="347"/>
      <c r="V161" s="348"/>
      <c r="W161" s="347"/>
      <c r="X161" s="348"/>
      <c r="Y161" s="347"/>
      <c r="Z161" s="348"/>
      <c r="AA161" s="340" t="e">
        <f t="shared" si="84"/>
        <v>#N/A</v>
      </c>
      <c r="AB161" s="339">
        <f t="shared" si="98"/>
      </c>
      <c r="AC161" s="339">
        <f t="shared" si="99"/>
      </c>
      <c r="AD161" s="255">
        <f t="shared" si="100"/>
      </c>
      <c r="AE161" s="256">
        <f t="shared" si="101"/>
      </c>
      <c r="AF161" s="256">
        <f t="shared" si="102"/>
      </c>
      <c r="AG161" s="255">
        <f t="shared" si="103"/>
      </c>
      <c r="AH161" s="255">
        <f t="shared" si="85"/>
      </c>
      <c r="AI161" s="255">
        <f t="shared" si="104"/>
      </c>
      <c r="AJ161" s="255">
        <f t="shared" si="105"/>
      </c>
      <c r="AK161" s="255">
        <f t="shared" si="86"/>
      </c>
      <c r="AL161" s="255">
        <f t="shared" si="87"/>
      </c>
      <c r="AM161" s="120">
        <f ca="1" t="shared" si="110"/>
        <v>0</v>
      </c>
      <c r="AN161" s="120" t="e">
        <f t="shared" si="88"/>
        <v>#N/A</v>
      </c>
      <c r="AO161" s="120">
        <f>ROWS($AO$4:AO161)-1</f>
        <v>157</v>
      </c>
      <c r="AP161" s="255" t="e">
        <f t="shared" si="111"/>
        <v>#N/A</v>
      </c>
      <c r="AQ161" s="120" t="e">
        <f t="shared" si="89"/>
        <v>#N/A</v>
      </c>
      <c r="AR161" s="120" t="e">
        <f t="shared" si="81"/>
        <v>#N/A</v>
      </c>
      <c r="AS161" s="121">
        <f t="shared" si="112"/>
        <v>1</v>
      </c>
      <c r="AT161" s="120" t="str">
        <f t="shared" si="113"/>
        <v> </v>
      </c>
      <c r="AU161" s="120" t="str">
        <f t="shared" si="114"/>
        <v> </v>
      </c>
      <c r="AV161" s="120" t="e">
        <f t="shared" si="90"/>
        <v>#N/A</v>
      </c>
      <c r="AW161" s="120" t="e">
        <f t="shared" si="91"/>
        <v>#N/A</v>
      </c>
      <c r="AX161" s="120">
        <f t="shared" si="92"/>
      </c>
      <c r="AY161" s="120" t="e">
        <f t="shared" si="93"/>
        <v>#N/A</v>
      </c>
      <c r="AZ161" s="120" t="e">
        <f>VLOOKUP(AY161,'排出係数表'!$A$4:$C$202,2,FALSE)</f>
        <v>#N/A</v>
      </c>
      <c r="BA161" s="120" t="e">
        <f t="shared" si="94"/>
        <v>#N/A</v>
      </c>
      <c r="BB161" s="120" t="e">
        <f>VLOOKUP(AY161,'排出係数表'!$A$4:$C$202,3,FALSE)</f>
        <v>#N/A</v>
      </c>
      <c r="BC161" s="120" t="e">
        <f t="shared" si="95"/>
        <v>#N/A</v>
      </c>
      <c r="BD161" s="120">
        <f t="shared" si="106"/>
        <v>1</v>
      </c>
      <c r="BE161" s="122">
        <f t="shared" si="96"/>
      </c>
      <c r="BF161" s="123" t="e">
        <f t="shared" si="115"/>
        <v>#VALUE!</v>
      </c>
      <c r="BG161" s="122">
        <f t="shared" si="107"/>
      </c>
      <c r="BH161" s="120" t="e">
        <f t="shared" si="108"/>
        <v>#VALUE!</v>
      </c>
      <c r="BI161" s="120" t="e">
        <f t="shared" si="109"/>
        <v>#VALUE!</v>
      </c>
      <c r="BJ161" s="122" t="e">
        <f>VLOOKUP(AY161,'排出係数表'!$A$4:$D$202,4)</f>
        <v>#N/A</v>
      </c>
      <c r="BK161" s="257">
        <f t="shared" si="116"/>
      </c>
    </row>
    <row r="162" spans="1:63" s="124" customFormat="1" ht="13.5" customHeight="1">
      <c r="A162" s="120"/>
      <c r="B162" s="120"/>
      <c r="C162" s="155"/>
      <c r="D162" s="155"/>
      <c r="E162" s="155"/>
      <c r="F162" s="155"/>
      <c r="G162" s="156"/>
      <c r="H162" s="157"/>
      <c r="I162" s="155"/>
      <c r="J162" s="155"/>
      <c r="K162" s="158"/>
      <c r="L162" s="159"/>
      <c r="M162" s="244"/>
      <c r="N162" s="155"/>
      <c r="O162" s="345">
        <f t="shared" si="97"/>
      </c>
      <c r="P162" s="345">
        <f t="shared" si="83"/>
      </c>
      <c r="Q162" s="508"/>
      <c r="R162" s="346"/>
      <c r="S162" s="347"/>
      <c r="T162" s="348"/>
      <c r="U162" s="347"/>
      <c r="V162" s="348"/>
      <c r="W162" s="347"/>
      <c r="X162" s="348"/>
      <c r="Y162" s="347"/>
      <c r="Z162" s="348"/>
      <c r="AA162" s="340" t="e">
        <f t="shared" si="84"/>
        <v>#N/A</v>
      </c>
      <c r="AB162" s="339">
        <f t="shared" si="98"/>
      </c>
      <c r="AC162" s="339">
        <f t="shared" si="99"/>
      </c>
      <c r="AD162" s="255">
        <f t="shared" si="100"/>
      </c>
      <c r="AE162" s="256">
        <f t="shared" si="101"/>
      </c>
      <c r="AF162" s="256">
        <f t="shared" si="102"/>
      </c>
      <c r="AG162" s="255">
        <f t="shared" si="103"/>
      </c>
      <c r="AH162" s="255">
        <f t="shared" si="85"/>
      </c>
      <c r="AI162" s="255">
        <f t="shared" si="104"/>
      </c>
      <c r="AJ162" s="255">
        <f t="shared" si="105"/>
      </c>
      <c r="AK162" s="255">
        <f t="shared" si="86"/>
      </c>
      <c r="AL162" s="255">
        <f t="shared" si="87"/>
      </c>
      <c r="AM162" s="120">
        <f ca="1" t="shared" si="110"/>
        <v>0</v>
      </c>
      <c r="AN162" s="120" t="e">
        <f t="shared" si="88"/>
        <v>#N/A</v>
      </c>
      <c r="AO162" s="120">
        <f>ROWS($AO$4:AO162)-1</f>
        <v>158</v>
      </c>
      <c r="AP162" s="255" t="e">
        <f t="shared" si="111"/>
        <v>#N/A</v>
      </c>
      <c r="AQ162" s="120" t="e">
        <f t="shared" si="89"/>
        <v>#N/A</v>
      </c>
      <c r="AR162" s="120" t="e">
        <f t="shared" si="81"/>
        <v>#N/A</v>
      </c>
      <c r="AS162" s="121">
        <f t="shared" si="112"/>
        <v>1</v>
      </c>
      <c r="AT162" s="120" t="str">
        <f t="shared" si="113"/>
        <v> </v>
      </c>
      <c r="AU162" s="120" t="str">
        <f t="shared" si="114"/>
        <v> </v>
      </c>
      <c r="AV162" s="120" t="e">
        <f t="shared" si="90"/>
        <v>#N/A</v>
      </c>
      <c r="AW162" s="120" t="e">
        <f t="shared" si="91"/>
        <v>#N/A</v>
      </c>
      <c r="AX162" s="120">
        <f t="shared" si="92"/>
      </c>
      <c r="AY162" s="120" t="e">
        <f t="shared" si="93"/>
        <v>#N/A</v>
      </c>
      <c r="AZ162" s="120" t="e">
        <f>VLOOKUP(AY162,'排出係数表'!$A$4:$C$202,2,FALSE)</f>
        <v>#N/A</v>
      </c>
      <c r="BA162" s="120" t="e">
        <f t="shared" si="94"/>
        <v>#N/A</v>
      </c>
      <c r="BB162" s="120" t="e">
        <f>VLOOKUP(AY162,'排出係数表'!$A$4:$C$202,3,FALSE)</f>
        <v>#N/A</v>
      </c>
      <c r="BC162" s="120" t="e">
        <f t="shared" si="95"/>
        <v>#N/A</v>
      </c>
      <c r="BD162" s="120">
        <f t="shared" si="106"/>
        <v>1</v>
      </c>
      <c r="BE162" s="122">
        <f t="shared" si="96"/>
      </c>
      <c r="BF162" s="123" t="e">
        <f t="shared" si="115"/>
        <v>#VALUE!</v>
      </c>
      <c r="BG162" s="122">
        <f t="shared" si="107"/>
      </c>
      <c r="BH162" s="120" t="e">
        <f t="shared" si="108"/>
        <v>#VALUE!</v>
      </c>
      <c r="BI162" s="120" t="e">
        <f t="shared" si="109"/>
        <v>#VALUE!</v>
      </c>
      <c r="BJ162" s="122" t="e">
        <f>VLOOKUP(AY162,'排出係数表'!$A$4:$D$202,4)</f>
        <v>#N/A</v>
      </c>
      <c r="BK162" s="257">
        <f t="shared" si="116"/>
      </c>
    </row>
    <row r="163" spans="1:63" s="124" customFormat="1" ht="13.5" customHeight="1">
      <c r="A163" s="120"/>
      <c r="B163" s="120"/>
      <c r="C163" s="155"/>
      <c r="D163" s="155"/>
      <c r="E163" s="155"/>
      <c r="F163" s="155"/>
      <c r="G163" s="156"/>
      <c r="H163" s="157"/>
      <c r="I163" s="155"/>
      <c r="J163" s="155"/>
      <c r="K163" s="158"/>
      <c r="L163" s="159"/>
      <c r="M163" s="244"/>
      <c r="N163" s="155"/>
      <c r="O163" s="345">
        <f t="shared" si="97"/>
      </c>
      <c r="P163" s="345">
        <f t="shared" si="83"/>
      </c>
      <c r="Q163" s="508"/>
      <c r="R163" s="346"/>
      <c r="S163" s="347"/>
      <c r="T163" s="348"/>
      <c r="U163" s="347"/>
      <c r="V163" s="348"/>
      <c r="W163" s="347"/>
      <c r="X163" s="348"/>
      <c r="Y163" s="347"/>
      <c r="Z163" s="348"/>
      <c r="AA163" s="340" t="e">
        <f t="shared" si="84"/>
        <v>#N/A</v>
      </c>
      <c r="AB163" s="339">
        <f t="shared" si="98"/>
      </c>
      <c r="AC163" s="339">
        <f t="shared" si="99"/>
      </c>
      <c r="AD163" s="255">
        <f t="shared" si="100"/>
      </c>
      <c r="AE163" s="256">
        <f t="shared" si="101"/>
      </c>
      <c r="AF163" s="256">
        <f t="shared" si="102"/>
      </c>
      <c r="AG163" s="255">
        <f t="shared" si="103"/>
      </c>
      <c r="AH163" s="255">
        <f t="shared" si="85"/>
      </c>
      <c r="AI163" s="255">
        <f t="shared" si="104"/>
      </c>
      <c r="AJ163" s="255">
        <f t="shared" si="105"/>
      </c>
      <c r="AK163" s="255">
        <f t="shared" si="86"/>
      </c>
      <c r="AL163" s="255">
        <f t="shared" si="87"/>
      </c>
      <c r="AM163" s="120">
        <f ca="1" t="shared" si="110"/>
        <v>0</v>
      </c>
      <c r="AN163" s="120" t="e">
        <f t="shared" si="88"/>
        <v>#N/A</v>
      </c>
      <c r="AO163" s="120">
        <f>ROWS($AO$4:AO163)-1</f>
        <v>159</v>
      </c>
      <c r="AP163" s="255" t="e">
        <f t="shared" si="111"/>
        <v>#N/A</v>
      </c>
      <c r="AQ163" s="120" t="e">
        <f t="shared" si="89"/>
        <v>#N/A</v>
      </c>
      <c r="AR163" s="120" t="e">
        <f t="shared" si="81"/>
        <v>#N/A</v>
      </c>
      <c r="AS163" s="121">
        <f t="shared" si="112"/>
        <v>1</v>
      </c>
      <c r="AT163" s="120" t="str">
        <f t="shared" si="113"/>
        <v> </v>
      </c>
      <c r="AU163" s="120" t="str">
        <f t="shared" si="114"/>
        <v> </v>
      </c>
      <c r="AV163" s="120" t="e">
        <f t="shared" si="90"/>
        <v>#N/A</v>
      </c>
      <c r="AW163" s="120" t="e">
        <f t="shared" si="91"/>
        <v>#N/A</v>
      </c>
      <c r="AX163" s="120">
        <f t="shared" si="92"/>
      </c>
      <c r="AY163" s="120" t="e">
        <f t="shared" si="93"/>
        <v>#N/A</v>
      </c>
      <c r="AZ163" s="120" t="e">
        <f>VLOOKUP(AY163,'排出係数表'!$A$4:$C$202,2,FALSE)</f>
        <v>#N/A</v>
      </c>
      <c r="BA163" s="120" t="e">
        <f t="shared" si="94"/>
        <v>#N/A</v>
      </c>
      <c r="BB163" s="120" t="e">
        <f>VLOOKUP(AY163,'排出係数表'!$A$4:$C$202,3,FALSE)</f>
        <v>#N/A</v>
      </c>
      <c r="BC163" s="120" t="e">
        <f t="shared" si="95"/>
        <v>#N/A</v>
      </c>
      <c r="BD163" s="120">
        <f t="shared" si="106"/>
        <v>1</v>
      </c>
      <c r="BE163" s="122">
        <f t="shared" si="96"/>
      </c>
      <c r="BF163" s="123" t="e">
        <f t="shared" si="115"/>
        <v>#VALUE!</v>
      </c>
      <c r="BG163" s="122">
        <f t="shared" si="107"/>
      </c>
      <c r="BH163" s="120" t="e">
        <f t="shared" si="108"/>
        <v>#VALUE!</v>
      </c>
      <c r="BI163" s="120" t="e">
        <f t="shared" si="109"/>
        <v>#VALUE!</v>
      </c>
      <c r="BJ163" s="122" t="e">
        <f>VLOOKUP(AY163,'排出係数表'!$A$4:$D$202,4)</f>
        <v>#N/A</v>
      </c>
      <c r="BK163" s="257">
        <f t="shared" si="116"/>
      </c>
    </row>
    <row r="164" spans="1:63" s="124" customFormat="1" ht="13.5" customHeight="1">
      <c r="A164" s="120"/>
      <c r="B164" s="120"/>
      <c r="C164" s="155"/>
      <c r="D164" s="155"/>
      <c r="E164" s="155"/>
      <c r="F164" s="155"/>
      <c r="G164" s="156"/>
      <c r="H164" s="157"/>
      <c r="I164" s="155"/>
      <c r="J164" s="155"/>
      <c r="K164" s="158"/>
      <c r="L164" s="159"/>
      <c r="M164" s="244"/>
      <c r="N164" s="155"/>
      <c r="O164" s="345">
        <f t="shared" si="97"/>
      </c>
      <c r="P164" s="345">
        <f t="shared" si="83"/>
      </c>
      <c r="Q164" s="508"/>
      <c r="R164" s="346"/>
      <c r="S164" s="347"/>
      <c r="T164" s="348"/>
      <c r="U164" s="347"/>
      <c r="V164" s="348"/>
      <c r="W164" s="347"/>
      <c r="X164" s="348"/>
      <c r="Y164" s="347"/>
      <c r="Z164" s="348"/>
      <c r="AA164" s="340" t="e">
        <f t="shared" si="84"/>
        <v>#N/A</v>
      </c>
      <c r="AB164" s="339">
        <f t="shared" si="98"/>
      </c>
      <c r="AC164" s="339">
        <f t="shared" si="99"/>
      </c>
      <c r="AD164" s="255">
        <f t="shared" si="100"/>
      </c>
      <c r="AE164" s="256">
        <f t="shared" si="101"/>
      </c>
      <c r="AF164" s="256">
        <f t="shared" si="102"/>
      </c>
      <c r="AG164" s="255">
        <f t="shared" si="103"/>
      </c>
      <c r="AH164" s="255">
        <f t="shared" si="85"/>
      </c>
      <c r="AI164" s="255">
        <f t="shared" si="104"/>
      </c>
      <c r="AJ164" s="255">
        <f t="shared" si="105"/>
      </c>
      <c r="AK164" s="255">
        <f t="shared" si="86"/>
      </c>
      <c r="AL164" s="255">
        <f t="shared" si="87"/>
      </c>
      <c r="AM164" s="120">
        <f ca="1" t="shared" si="110"/>
        <v>0</v>
      </c>
      <c r="AN164" s="120" t="e">
        <f t="shared" si="88"/>
        <v>#N/A</v>
      </c>
      <c r="AO164" s="120">
        <f>ROWS($AO$4:AO164)-1</f>
        <v>160</v>
      </c>
      <c r="AP164" s="255" t="e">
        <f t="shared" si="111"/>
        <v>#N/A</v>
      </c>
      <c r="AQ164" s="120" t="e">
        <f t="shared" si="89"/>
        <v>#N/A</v>
      </c>
      <c r="AR164" s="120" t="e">
        <f t="shared" si="81"/>
        <v>#N/A</v>
      </c>
      <c r="AS164" s="121">
        <f t="shared" si="112"/>
        <v>1</v>
      </c>
      <c r="AT164" s="120" t="str">
        <f t="shared" si="113"/>
        <v> </v>
      </c>
      <c r="AU164" s="120" t="str">
        <f t="shared" si="114"/>
        <v> </v>
      </c>
      <c r="AV164" s="120" t="e">
        <f t="shared" si="90"/>
        <v>#N/A</v>
      </c>
      <c r="AW164" s="120" t="e">
        <f t="shared" si="91"/>
        <v>#N/A</v>
      </c>
      <c r="AX164" s="120">
        <f t="shared" si="92"/>
      </c>
      <c r="AY164" s="120" t="e">
        <f t="shared" si="93"/>
        <v>#N/A</v>
      </c>
      <c r="AZ164" s="120" t="e">
        <f>VLOOKUP(AY164,'排出係数表'!$A$4:$C$202,2,FALSE)</f>
        <v>#N/A</v>
      </c>
      <c r="BA164" s="120" t="e">
        <f t="shared" si="94"/>
        <v>#N/A</v>
      </c>
      <c r="BB164" s="120" t="e">
        <f>VLOOKUP(AY164,'排出係数表'!$A$4:$C$202,3,FALSE)</f>
        <v>#N/A</v>
      </c>
      <c r="BC164" s="120" t="e">
        <f t="shared" si="95"/>
        <v>#N/A</v>
      </c>
      <c r="BD164" s="120">
        <f t="shared" si="106"/>
        <v>1</v>
      </c>
      <c r="BE164" s="122">
        <f t="shared" si="96"/>
      </c>
      <c r="BF164" s="123" t="e">
        <f t="shared" si="115"/>
        <v>#VALUE!</v>
      </c>
      <c r="BG164" s="122">
        <f t="shared" si="107"/>
      </c>
      <c r="BH164" s="120" t="e">
        <f t="shared" si="108"/>
        <v>#VALUE!</v>
      </c>
      <c r="BI164" s="120" t="e">
        <f t="shared" si="109"/>
        <v>#VALUE!</v>
      </c>
      <c r="BJ164" s="122" t="e">
        <f>VLOOKUP(AY164,'排出係数表'!$A$4:$D$202,4)</f>
        <v>#N/A</v>
      </c>
      <c r="BK164" s="257">
        <f t="shared" si="116"/>
      </c>
    </row>
    <row r="165" spans="1:63" s="124" customFormat="1" ht="13.5" customHeight="1">
      <c r="A165" s="120"/>
      <c r="B165" s="120"/>
      <c r="C165" s="155"/>
      <c r="D165" s="155"/>
      <c r="E165" s="155"/>
      <c r="F165" s="155"/>
      <c r="G165" s="156"/>
      <c r="H165" s="157"/>
      <c r="I165" s="155"/>
      <c r="J165" s="155"/>
      <c r="K165" s="158"/>
      <c r="L165" s="159"/>
      <c r="M165" s="244"/>
      <c r="N165" s="155"/>
      <c r="O165" s="345">
        <f t="shared" si="97"/>
      </c>
      <c r="P165" s="345">
        <f t="shared" si="83"/>
      </c>
      <c r="Q165" s="508"/>
      <c r="R165" s="346"/>
      <c r="S165" s="347"/>
      <c r="T165" s="348"/>
      <c r="U165" s="347"/>
      <c r="V165" s="348"/>
      <c r="W165" s="347"/>
      <c r="X165" s="348"/>
      <c r="Y165" s="347"/>
      <c r="Z165" s="348"/>
      <c r="AA165" s="340" t="e">
        <f t="shared" si="84"/>
        <v>#N/A</v>
      </c>
      <c r="AB165" s="339">
        <f t="shared" si="98"/>
      </c>
      <c r="AC165" s="339">
        <f t="shared" si="99"/>
      </c>
      <c r="AD165" s="255">
        <f t="shared" si="100"/>
      </c>
      <c r="AE165" s="256">
        <f t="shared" si="101"/>
      </c>
      <c r="AF165" s="256">
        <f t="shared" si="102"/>
      </c>
      <c r="AG165" s="255">
        <f t="shared" si="103"/>
      </c>
      <c r="AH165" s="255">
        <f t="shared" si="85"/>
      </c>
      <c r="AI165" s="255">
        <f t="shared" si="104"/>
      </c>
      <c r="AJ165" s="255">
        <f t="shared" si="105"/>
      </c>
      <c r="AK165" s="255">
        <f t="shared" si="86"/>
      </c>
      <c r="AL165" s="255">
        <f t="shared" si="87"/>
      </c>
      <c r="AM165" s="120">
        <f ca="1" t="shared" si="110"/>
        <v>0</v>
      </c>
      <c r="AN165" s="120" t="e">
        <f t="shared" si="88"/>
        <v>#N/A</v>
      </c>
      <c r="AO165" s="120">
        <f>ROWS($AO$4:AO165)-1</f>
        <v>161</v>
      </c>
      <c r="AP165" s="255" t="e">
        <f t="shared" si="111"/>
        <v>#N/A</v>
      </c>
      <c r="AQ165" s="120" t="e">
        <f t="shared" si="89"/>
        <v>#N/A</v>
      </c>
      <c r="AR165" s="120" t="e">
        <f aca="true" t="shared" si="117" ref="AR165:AR228">LOOKUP(F165,種類,$M$307:$M$314)</f>
        <v>#N/A</v>
      </c>
      <c r="AS165" s="121">
        <f t="shared" si="112"/>
        <v>1</v>
      </c>
      <c r="AT165" s="120" t="str">
        <f t="shared" si="113"/>
        <v> </v>
      </c>
      <c r="AU165" s="120" t="str">
        <f t="shared" si="114"/>
        <v> </v>
      </c>
      <c r="AV165" s="120" t="e">
        <f t="shared" si="90"/>
        <v>#N/A</v>
      </c>
      <c r="AW165" s="120" t="e">
        <f t="shared" si="91"/>
        <v>#N/A</v>
      </c>
      <c r="AX165" s="120">
        <f t="shared" si="92"/>
      </c>
      <c r="AY165" s="120" t="e">
        <f t="shared" si="93"/>
        <v>#N/A</v>
      </c>
      <c r="AZ165" s="120" t="e">
        <f>VLOOKUP(AY165,'排出係数表'!$A$4:$C$202,2,FALSE)</f>
        <v>#N/A</v>
      </c>
      <c r="BA165" s="120" t="e">
        <f t="shared" si="94"/>
        <v>#N/A</v>
      </c>
      <c r="BB165" s="120" t="e">
        <f>VLOOKUP(AY165,'排出係数表'!$A$4:$C$202,3,FALSE)</f>
        <v>#N/A</v>
      </c>
      <c r="BC165" s="120" t="e">
        <f t="shared" si="95"/>
        <v>#N/A</v>
      </c>
      <c r="BD165" s="120">
        <f t="shared" si="106"/>
        <v>1</v>
      </c>
      <c r="BE165" s="122">
        <f t="shared" si="96"/>
      </c>
      <c r="BF165" s="123" t="e">
        <f aca="true" t="shared" si="118" ref="BF165:BF173">VALUE(LEFT(J165,2))</f>
        <v>#VALUE!</v>
      </c>
      <c r="BG165" s="122">
        <f t="shared" si="107"/>
      </c>
      <c r="BH165" s="120" t="e">
        <f t="shared" si="108"/>
        <v>#VALUE!</v>
      </c>
      <c r="BI165" s="120" t="e">
        <f t="shared" si="109"/>
        <v>#VALUE!</v>
      </c>
      <c r="BJ165" s="122" t="e">
        <f>VLOOKUP(AY165,'排出係数表'!$A$4:$D$202,4)</f>
        <v>#N/A</v>
      </c>
      <c r="BK165" s="257">
        <f t="shared" si="116"/>
      </c>
    </row>
    <row r="166" spans="1:63" s="124" customFormat="1" ht="13.5" customHeight="1">
      <c r="A166" s="120"/>
      <c r="B166" s="120"/>
      <c r="C166" s="155"/>
      <c r="D166" s="155"/>
      <c r="E166" s="155"/>
      <c r="F166" s="155"/>
      <c r="G166" s="156"/>
      <c r="H166" s="157"/>
      <c r="I166" s="155"/>
      <c r="J166" s="155"/>
      <c r="K166" s="158"/>
      <c r="L166" s="159"/>
      <c r="M166" s="244"/>
      <c r="N166" s="155"/>
      <c r="O166" s="345">
        <f t="shared" si="97"/>
      </c>
      <c r="P166" s="345">
        <f t="shared" si="83"/>
      </c>
      <c r="Q166" s="508"/>
      <c r="R166" s="346"/>
      <c r="S166" s="347"/>
      <c r="T166" s="348"/>
      <c r="U166" s="347"/>
      <c r="V166" s="348"/>
      <c r="W166" s="347"/>
      <c r="X166" s="348"/>
      <c r="Y166" s="347"/>
      <c r="Z166" s="348"/>
      <c r="AA166" s="340" t="e">
        <f t="shared" si="84"/>
        <v>#N/A</v>
      </c>
      <c r="AB166" s="339">
        <f t="shared" si="98"/>
      </c>
      <c r="AC166" s="339">
        <f t="shared" si="99"/>
      </c>
      <c r="AD166" s="255">
        <f t="shared" si="100"/>
      </c>
      <c r="AE166" s="256">
        <f t="shared" si="101"/>
      </c>
      <c r="AF166" s="256">
        <f t="shared" si="102"/>
      </c>
      <c r="AG166" s="255">
        <f t="shared" si="103"/>
      </c>
      <c r="AH166" s="255">
        <f t="shared" si="85"/>
      </c>
      <c r="AI166" s="255">
        <f t="shared" si="104"/>
      </c>
      <c r="AJ166" s="255">
        <f t="shared" si="105"/>
      </c>
      <c r="AK166" s="255">
        <f t="shared" si="86"/>
      </c>
      <c r="AL166" s="255">
        <f t="shared" si="87"/>
      </c>
      <c r="AM166" s="120">
        <f ca="1" t="shared" si="110"/>
        <v>0</v>
      </c>
      <c r="AN166" s="120" t="e">
        <f t="shared" si="88"/>
        <v>#N/A</v>
      </c>
      <c r="AO166" s="120">
        <f>ROWS($AO$4:AO166)-1</f>
        <v>162</v>
      </c>
      <c r="AP166" s="255" t="e">
        <f t="shared" si="111"/>
        <v>#N/A</v>
      </c>
      <c r="AQ166" s="120" t="e">
        <f t="shared" si="89"/>
        <v>#N/A</v>
      </c>
      <c r="AR166" s="120" t="e">
        <f t="shared" si="117"/>
        <v>#N/A</v>
      </c>
      <c r="AS166" s="121">
        <f t="shared" si="112"/>
        <v>1</v>
      </c>
      <c r="AT166" s="120" t="str">
        <f t="shared" si="113"/>
        <v> </v>
      </c>
      <c r="AU166" s="120" t="str">
        <f t="shared" si="114"/>
        <v> </v>
      </c>
      <c r="AV166" s="120" t="e">
        <f t="shared" si="90"/>
        <v>#N/A</v>
      </c>
      <c r="AW166" s="120" t="e">
        <f t="shared" si="91"/>
        <v>#N/A</v>
      </c>
      <c r="AX166" s="120">
        <f t="shared" si="92"/>
      </c>
      <c r="AY166" s="120" t="e">
        <f t="shared" si="93"/>
        <v>#N/A</v>
      </c>
      <c r="AZ166" s="120" t="e">
        <f>VLOOKUP(AY166,'排出係数表'!$A$4:$C$202,2,FALSE)</f>
        <v>#N/A</v>
      </c>
      <c r="BA166" s="120" t="e">
        <f t="shared" si="94"/>
        <v>#N/A</v>
      </c>
      <c r="BB166" s="120" t="e">
        <f>VLOOKUP(AY166,'排出係数表'!$A$4:$C$202,3,FALSE)</f>
        <v>#N/A</v>
      </c>
      <c r="BC166" s="120" t="e">
        <f t="shared" si="95"/>
        <v>#N/A</v>
      </c>
      <c r="BD166" s="120">
        <f t="shared" si="106"/>
        <v>1</v>
      </c>
      <c r="BE166" s="122">
        <f t="shared" si="96"/>
      </c>
      <c r="BF166" s="123" t="e">
        <f t="shared" si="118"/>
        <v>#VALUE!</v>
      </c>
      <c r="BG166" s="122">
        <f t="shared" si="107"/>
      </c>
      <c r="BH166" s="120" t="e">
        <f t="shared" si="108"/>
        <v>#VALUE!</v>
      </c>
      <c r="BI166" s="120" t="e">
        <f t="shared" si="109"/>
        <v>#VALUE!</v>
      </c>
      <c r="BJ166" s="122" t="e">
        <f>VLOOKUP(AY166,'排出係数表'!$A$4:$D$202,4)</f>
        <v>#N/A</v>
      </c>
      <c r="BK166" s="257">
        <f t="shared" si="116"/>
      </c>
    </row>
    <row r="167" spans="1:63" s="124" customFormat="1" ht="13.5" customHeight="1">
      <c r="A167" s="120"/>
      <c r="B167" s="120"/>
      <c r="C167" s="155"/>
      <c r="D167" s="155"/>
      <c r="E167" s="155"/>
      <c r="F167" s="155"/>
      <c r="G167" s="156"/>
      <c r="H167" s="157"/>
      <c r="I167" s="155"/>
      <c r="J167" s="155"/>
      <c r="K167" s="158"/>
      <c r="L167" s="159"/>
      <c r="M167" s="244"/>
      <c r="N167" s="155"/>
      <c r="O167" s="345">
        <f t="shared" si="97"/>
      </c>
      <c r="P167" s="345">
        <f t="shared" si="83"/>
      </c>
      <c r="Q167" s="508"/>
      <c r="R167" s="346"/>
      <c r="S167" s="347"/>
      <c r="T167" s="348"/>
      <c r="U167" s="347"/>
      <c r="V167" s="348"/>
      <c r="W167" s="347"/>
      <c r="X167" s="348"/>
      <c r="Y167" s="347"/>
      <c r="Z167" s="348"/>
      <c r="AA167" s="340" t="e">
        <f t="shared" si="84"/>
        <v>#N/A</v>
      </c>
      <c r="AB167" s="339">
        <f t="shared" si="98"/>
      </c>
      <c r="AC167" s="339">
        <f t="shared" si="99"/>
      </c>
      <c r="AD167" s="255">
        <f t="shared" si="100"/>
      </c>
      <c r="AE167" s="256">
        <f t="shared" si="101"/>
      </c>
      <c r="AF167" s="256">
        <f t="shared" si="102"/>
      </c>
      <c r="AG167" s="255">
        <f t="shared" si="103"/>
      </c>
      <c r="AH167" s="255">
        <f t="shared" si="85"/>
      </c>
      <c r="AI167" s="255">
        <f t="shared" si="104"/>
      </c>
      <c r="AJ167" s="255">
        <f t="shared" si="105"/>
      </c>
      <c r="AK167" s="255">
        <f t="shared" si="86"/>
      </c>
      <c r="AL167" s="255">
        <f t="shared" si="87"/>
      </c>
      <c r="AM167" s="120">
        <f ca="1" t="shared" si="110"/>
        <v>0</v>
      </c>
      <c r="AN167" s="120" t="e">
        <f t="shared" si="88"/>
        <v>#N/A</v>
      </c>
      <c r="AO167" s="120">
        <f>ROWS($AO$4:AO167)-1</f>
        <v>163</v>
      </c>
      <c r="AP167" s="255" t="e">
        <f t="shared" si="111"/>
        <v>#N/A</v>
      </c>
      <c r="AQ167" s="120" t="e">
        <f t="shared" si="89"/>
        <v>#N/A</v>
      </c>
      <c r="AR167" s="120" t="e">
        <f t="shared" si="117"/>
        <v>#N/A</v>
      </c>
      <c r="AS167" s="121">
        <f t="shared" si="112"/>
        <v>1</v>
      </c>
      <c r="AT167" s="120" t="str">
        <f t="shared" si="113"/>
        <v> </v>
      </c>
      <c r="AU167" s="120" t="str">
        <f t="shared" si="114"/>
        <v> </v>
      </c>
      <c r="AV167" s="120" t="e">
        <f t="shared" si="90"/>
        <v>#N/A</v>
      </c>
      <c r="AW167" s="120" t="e">
        <f t="shared" si="91"/>
        <v>#N/A</v>
      </c>
      <c r="AX167" s="120">
        <f t="shared" si="92"/>
      </c>
      <c r="AY167" s="120" t="e">
        <f t="shared" si="93"/>
        <v>#N/A</v>
      </c>
      <c r="AZ167" s="120" t="e">
        <f>VLOOKUP(AY167,'排出係数表'!$A$4:$C$202,2,FALSE)</f>
        <v>#N/A</v>
      </c>
      <c r="BA167" s="120" t="e">
        <f t="shared" si="94"/>
        <v>#N/A</v>
      </c>
      <c r="BB167" s="120" t="e">
        <f>VLOOKUP(AY167,'排出係数表'!$A$4:$C$202,3,FALSE)</f>
        <v>#N/A</v>
      </c>
      <c r="BC167" s="120" t="e">
        <f t="shared" si="95"/>
        <v>#N/A</v>
      </c>
      <c r="BD167" s="120">
        <f t="shared" si="106"/>
        <v>1</v>
      </c>
      <c r="BE167" s="122">
        <f t="shared" si="96"/>
      </c>
      <c r="BF167" s="123" t="e">
        <f t="shared" si="118"/>
        <v>#VALUE!</v>
      </c>
      <c r="BG167" s="122">
        <f t="shared" si="107"/>
      </c>
      <c r="BH167" s="120" t="e">
        <f t="shared" si="108"/>
        <v>#VALUE!</v>
      </c>
      <c r="BI167" s="120" t="e">
        <f t="shared" si="109"/>
        <v>#VALUE!</v>
      </c>
      <c r="BJ167" s="122" t="e">
        <f>VLOOKUP(AY167,'排出係数表'!$A$4:$D$202,4)</f>
        <v>#N/A</v>
      </c>
      <c r="BK167" s="257">
        <f t="shared" si="116"/>
      </c>
    </row>
    <row r="168" spans="1:63" s="124" customFormat="1" ht="13.5" customHeight="1">
      <c r="A168" s="120"/>
      <c r="B168" s="120"/>
      <c r="C168" s="155"/>
      <c r="D168" s="155"/>
      <c r="E168" s="155"/>
      <c r="F168" s="155"/>
      <c r="G168" s="156"/>
      <c r="H168" s="157"/>
      <c r="I168" s="155"/>
      <c r="J168" s="155"/>
      <c r="K168" s="158"/>
      <c r="L168" s="159"/>
      <c r="M168" s="244"/>
      <c r="N168" s="155"/>
      <c r="O168" s="345">
        <f t="shared" si="97"/>
      </c>
      <c r="P168" s="345">
        <f t="shared" si="83"/>
      </c>
      <c r="Q168" s="508"/>
      <c r="R168" s="346"/>
      <c r="S168" s="347"/>
      <c r="T168" s="348"/>
      <c r="U168" s="347"/>
      <c r="V168" s="348"/>
      <c r="W168" s="347"/>
      <c r="X168" s="348"/>
      <c r="Y168" s="347"/>
      <c r="Z168" s="348"/>
      <c r="AA168" s="340" t="e">
        <f t="shared" si="84"/>
        <v>#N/A</v>
      </c>
      <c r="AB168" s="339">
        <f t="shared" si="98"/>
      </c>
      <c r="AC168" s="339">
        <f t="shared" si="99"/>
      </c>
      <c r="AD168" s="255">
        <f t="shared" si="100"/>
      </c>
      <c r="AE168" s="256">
        <f t="shared" si="101"/>
      </c>
      <c r="AF168" s="256">
        <f t="shared" si="102"/>
      </c>
      <c r="AG168" s="255">
        <f t="shared" si="103"/>
      </c>
      <c r="AH168" s="255">
        <f t="shared" si="85"/>
      </c>
      <c r="AI168" s="255">
        <f t="shared" si="104"/>
      </c>
      <c r="AJ168" s="255">
        <f t="shared" si="105"/>
      </c>
      <c r="AK168" s="255">
        <f t="shared" si="86"/>
      </c>
      <c r="AL168" s="255">
        <f t="shared" si="87"/>
      </c>
      <c r="AM168" s="120">
        <f ca="1" t="shared" si="110"/>
        <v>0</v>
      </c>
      <c r="AN168" s="120" t="e">
        <f t="shared" si="88"/>
        <v>#N/A</v>
      </c>
      <c r="AO168" s="120">
        <f>ROWS($AO$4:AO168)-1</f>
        <v>164</v>
      </c>
      <c r="AP168" s="255" t="e">
        <f t="shared" si="111"/>
        <v>#N/A</v>
      </c>
      <c r="AQ168" s="120" t="e">
        <f t="shared" si="89"/>
        <v>#N/A</v>
      </c>
      <c r="AR168" s="120" t="e">
        <f t="shared" si="117"/>
        <v>#N/A</v>
      </c>
      <c r="AS168" s="121">
        <f t="shared" si="112"/>
        <v>1</v>
      </c>
      <c r="AT168" s="120" t="str">
        <f t="shared" si="113"/>
        <v> </v>
      </c>
      <c r="AU168" s="120" t="str">
        <f t="shared" si="114"/>
        <v> </v>
      </c>
      <c r="AV168" s="120" t="e">
        <f t="shared" si="90"/>
        <v>#N/A</v>
      </c>
      <c r="AW168" s="120" t="e">
        <f t="shared" si="91"/>
        <v>#N/A</v>
      </c>
      <c r="AX168" s="120">
        <f t="shared" si="92"/>
      </c>
      <c r="AY168" s="120" t="e">
        <f t="shared" si="93"/>
        <v>#N/A</v>
      </c>
      <c r="AZ168" s="120" t="e">
        <f>VLOOKUP(AY168,'排出係数表'!$A$4:$C$202,2,FALSE)</f>
        <v>#N/A</v>
      </c>
      <c r="BA168" s="120" t="e">
        <f t="shared" si="94"/>
        <v>#N/A</v>
      </c>
      <c r="BB168" s="120" t="e">
        <f>VLOOKUP(AY168,'排出係数表'!$A$4:$C$202,3,FALSE)</f>
        <v>#N/A</v>
      </c>
      <c r="BC168" s="120" t="e">
        <f t="shared" si="95"/>
        <v>#N/A</v>
      </c>
      <c r="BD168" s="120">
        <f t="shared" si="106"/>
        <v>1</v>
      </c>
      <c r="BE168" s="122">
        <f t="shared" si="96"/>
      </c>
      <c r="BF168" s="123" t="e">
        <f t="shared" si="118"/>
        <v>#VALUE!</v>
      </c>
      <c r="BG168" s="122">
        <f t="shared" si="107"/>
      </c>
      <c r="BH168" s="120" t="e">
        <f t="shared" si="108"/>
        <v>#VALUE!</v>
      </c>
      <c r="BI168" s="120" t="e">
        <f t="shared" si="109"/>
        <v>#VALUE!</v>
      </c>
      <c r="BJ168" s="122" t="e">
        <f>VLOOKUP(AY168,'排出係数表'!$A$4:$D$202,4)</f>
        <v>#N/A</v>
      </c>
      <c r="BK168" s="257">
        <f t="shared" si="116"/>
      </c>
    </row>
    <row r="169" spans="1:63" s="124" customFormat="1" ht="13.5" customHeight="1">
      <c r="A169" s="120"/>
      <c r="B169" s="120"/>
      <c r="C169" s="155"/>
      <c r="D169" s="155"/>
      <c r="E169" s="155"/>
      <c r="F169" s="155"/>
      <c r="G169" s="156"/>
      <c r="H169" s="157"/>
      <c r="I169" s="155"/>
      <c r="J169" s="155"/>
      <c r="K169" s="158"/>
      <c r="L169" s="159"/>
      <c r="M169" s="244"/>
      <c r="N169" s="155"/>
      <c r="O169" s="345">
        <f t="shared" si="97"/>
      </c>
      <c r="P169" s="345">
        <f t="shared" si="83"/>
      </c>
      <c r="Q169" s="508"/>
      <c r="R169" s="346"/>
      <c r="S169" s="347"/>
      <c r="T169" s="348"/>
      <c r="U169" s="347"/>
      <c r="V169" s="348"/>
      <c r="W169" s="347"/>
      <c r="X169" s="348"/>
      <c r="Y169" s="347"/>
      <c r="Z169" s="348"/>
      <c r="AA169" s="340" t="e">
        <f t="shared" si="84"/>
        <v>#N/A</v>
      </c>
      <c r="AB169" s="339">
        <f t="shared" si="98"/>
      </c>
      <c r="AC169" s="339">
        <f t="shared" si="99"/>
      </c>
      <c r="AD169" s="255">
        <f t="shared" si="100"/>
      </c>
      <c r="AE169" s="256">
        <f t="shared" si="101"/>
      </c>
      <c r="AF169" s="256">
        <f t="shared" si="102"/>
      </c>
      <c r="AG169" s="255">
        <f t="shared" si="103"/>
      </c>
      <c r="AH169" s="255">
        <f t="shared" si="85"/>
      </c>
      <c r="AI169" s="255">
        <f t="shared" si="104"/>
      </c>
      <c r="AJ169" s="255">
        <f t="shared" si="105"/>
      </c>
      <c r="AK169" s="255">
        <f t="shared" si="86"/>
      </c>
      <c r="AL169" s="255">
        <f t="shared" si="87"/>
      </c>
      <c r="AM169" s="120">
        <f ca="1" t="shared" si="110"/>
        <v>0</v>
      </c>
      <c r="AN169" s="120" t="e">
        <f t="shared" si="88"/>
        <v>#N/A</v>
      </c>
      <c r="AO169" s="120">
        <f>ROWS($AO$4:AO169)-1</f>
        <v>165</v>
      </c>
      <c r="AP169" s="255" t="e">
        <f t="shared" si="111"/>
        <v>#N/A</v>
      </c>
      <c r="AQ169" s="120" t="e">
        <f t="shared" si="89"/>
        <v>#N/A</v>
      </c>
      <c r="AR169" s="120" t="e">
        <f t="shared" si="117"/>
        <v>#N/A</v>
      </c>
      <c r="AS169" s="121">
        <f t="shared" si="112"/>
        <v>1</v>
      </c>
      <c r="AT169" s="120" t="str">
        <f t="shared" si="113"/>
        <v> </v>
      </c>
      <c r="AU169" s="120" t="str">
        <f t="shared" si="114"/>
        <v> </v>
      </c>
      <c r="AV169" s="120" t="e">
        <f t="shared" si="90"/>
        <v>#N/A</v>
      </c>
      <c r="AW169" s="120" t="e">
        <f t="shared" si="91"/>
        <v>#N/A</v>
      </c>
      <c r="AX169" s="120">
        <f t="shared" si="92"/>
      </c>
      <c r="AY169" s="120" t="e">
        <f t="shared" si="93"/>
        <v>#N/A</v>
      </c>
      <c r="AZ169" s="120" t="e">
        <f>VLOOKUP(AY169,'排出係数表'!$A$4:$C$202,2,FALSE)</f>
        <v>#N/A</v>
      </c>
      <c r="BA169" s="120" t="e">
        <f t="shared" si="94"/>
        <v>#N/A</v>
      </c>
      <c r="BB169" s="120" t="e">
        <f>VLOOKUP(AY169,'排出係数表'!$A$4:$C$202,3,FALSE)</f>
        <v>#N/A</v>
      </c>
      <c r="BC169" s="120" t="e">
        <f t="shared" si="95"/>
        <v>#N/A</v>
      </c>
      <c r="BD169" s="120">
        <f t="shared" si="106"/>
        <v>1</v>
      </c>
      <c r="BE169" s="122">
        <f t="shared" si="96"/>
      </c>
      <c r="BF169" s="123" t="e">
        <f t="shared" si="118"/>
        <v>#VALUE!</v>
      </c>
      <c r="BG169" s="122">
        <f t="shared" si="107"/>
      </c>
      <c r="BH169" s="120" t="e">
        <f t="shared" si="108"/>
        <v>#VALUE!</v>
      </c>
      <c r="BI169" s="120" t="e">
        <f t="shared" si="109"/>
        <v>#VALUE!</v>
      </c>
      <c r="BJ169" s="122" t="e">
        <f>VLOOKUP(AY169,'排出係数表'!$A$4:$D$202,4)</f>
        <v>#N/A</v>
      </c>
      <c r="BK169" s="257">
        <f t="shared" si="116"/>
      </c>
    </row>
    <row r="170" spans="1:63" s="124" customFormat="1" ht="13.5" customHeight="1">
      <c r="A170" s="120"/>
      <c r="B170" s="120"/>
      <c r="C170" s="155"/>
      <c r="D170" s="155"/>
      <c r="E170" s="155"/>
      <c r="F170" s="155"/>
      <c r="G170" s="156"/>
      <c r="H170" s="157"/>
      <c r="I170" s="155"/>
      <c r="J170" s="155"/>
      <c r="K170" s="158"/>
      <c r="L170" s="159"/>
      <c r="M170" s="244"/>
      <c r="N170" s="155"/>
      <c r="O170" s="345">
        <f t="shared" si="97"/>
      </c>
      <c r="P170" s="345">
        <f t="shared" si="83"/>
      </c>
      <c r="Q170" s="508"/>
      <c r="R170" s="346"/>
      <c r="S170" s="347"/>
      <c r="T170" s="348"/>
      <c r="U170" s="347"/>
      <c r="V170" s="348"/>
      <c r="W170" s="347"/>
      <c r="X170" s="348"/>
      <c r="Y170" s="347"/>
      <c r="Z170" s="348"/>
      <c r="AA170" s="340" t="e">
        <f t="shared" si="84"/>
        <v>#N/A</v>
      </c>
      <c r="AB170" s="339">
        <f t="shared" si="98"/>
      </c>
      <c r="AC170" s="339">
        <f t="shared" si="99"/>
      </c>
      <c r="AD170" s="255">
        <f t="shared" si="100"/>
      </c>
      <c r="AE170" s="256">
        <f t="shared" si="101"/>
      </c>
      <c r="AF170" s="256">
        <f t="shared" si="102"/>
      </c>
      <c r="AG170" s="255">
        <f t="shared" si="103"/>
      </c>
      <c r="AH170" s="255">
        <f t="shared" si="85"/>
      </c>
      <c r="AI170" s="255">
        <f t="shared" si="104"/>
      </c>
      <c r="AJ170" s="255">
        <f t="shared" si="105"/>
      </c>
      <c r="AK170" s="255">
        <f t="shared" si="86"/>
      </c>
      <c r="AL170" s="255">
        <f t="shared" si="87"/>
      </c>
      <c r="AM170" s="120">
        <f ca="1" t="shared" si="110"/>
        <v>0</v>
      </c>
      <c r="AN170" s="120" t="e">
        <f t="shared" si="88"/>
        <v>#N/A</v>
      </c>
      <c r="AO170" s="120">
        <f>ROWS($AO$4:AO170)-1</f>
        <v>166</v>
      </c>
      <c r="AP170" s="255" t="e">
        <f t="shared" si="111"/>
        <v>#N/A</v>
      </c>
      <c r="AQ170" s="120" t="e">
        <f t="shared" si="89"/>
        <v>#N/A</v>
      </c>
      <c r="AR170" s="120" t="e">
        <f t="shared" si="117"/>
        <v>#N/A</v>
      </c>
      <c r="AS170" s="121">
        <f t="shared" si="112"/>
        <v>1</v>
      </c>
      <c r="AT170" s="120" t="str">
        <f t="shared" si="113"/>
        <v> </v>
      </c>
      <c r="AU170" s="120" t="str">
        <f t="shared" si="114"/>
        <v> </v>
      </c>
      <c r="AV170" s="120" t="e">
        <f t="shared" si="90"/>
        <v>#N/A</v>
      </c>
      <c r="AW170" s="120" t="e">
        <f t="shared" si="91"/>
        <v>#N/A</v>
      </c>
      <c r="AX170" s="120">
        <f t="shared" si="92"/>
      </c>
      <c r="AY170" s="120" t="e">
        <f t="shared" si="93"/>
        <v>#N/A</v>
      </c>
      <c r="AZ170" s="120" t="e">
        <f>VLOOKUP(AY170,'排出係数表'!$A$4:$C$202,2,FALSE)</f>
        <v>#N/A</v>
      </c>
      <c r="BA170" s="120" t="e">
        <f t="shared" si="94"/>
        <v>#N/A</v>
      </c>
      <c r="BB170" s="120" t="e">
        <f>VLOOKUP(AY170,'排出係数表'!$A$4:$C$202,3,FALSE)</f>
        <v>#N/A</v>
      </c>
      <c r="BC170" s="120" t="e">
        <f t="shared" si="95"/>
        <v>#N/A</v>
      </c>
      <c r="BD170" s="120">
        <f t="shared" si="106"/>
        <v>1</v>
      </c>
      <c r="BE170" s="122">
        <f t="shared" si="96"/>
      </c>
      <c r="BF170" s="123" t="e">
        <f t="shared" si="118"/>
        <v>#VALUE!</v>
      </c>
      <c r="BG170" s="122">
        <f t="shared" si="107"/>
      </c>
      <c r="BH170" s="120" t="e">
        <f t="shared" si="108"/>
        <v>#VALUE!</v>
      </c>
      <c r="BI170" s="120" t="e">
        <f t="shared" si="109"/>
        <v>#VALUE!</v>
      </c>
      <c r="BJ170" s="122" t="e">
        <f>VLOOKUP(AY170,'排出係数表'!$A$4:$D$202,4)</f>
        <v>#N/A</v>
      </c>
      <c r="BK170" s="257">
        <f t="shared" si="116"/>
      </c>
    </row>
    <row r="171" spans="1:63" s="124" customFormat="1" ht="13.5" customHeight="1">
      <c r="A171" s="120"/>
      <c r="B171" s="120"/>
      <c r="C171" s="155"/>
      <c r="D171" s="155"/>
      <c r="E171" s="155"/>
      <c r="F171" s="155"/>
      <c r="G171" s="156"/>
      <c r="H171" s="157"/>
      <c r="I171" s="155"/>
      <c r="J171" s="155"/>
      <c r="K171" s="158"/>
      <c r="L171" s="159"/>
      <c r="M171" s="244"/>
      <c r="N171" s="155"/>
      <c r="O171" s="345">
        <f t="shared" si="97"/>
      </c>
      <c r="P171" s="345">
        <f t="shared" si="83"/>
      </c>
      <c r="Q171" s="508"/>
      <c r="R171" s="346"/>
      <c r="S171" s="347"/>
      <c r="T171" s="348"/>
      <c r="U171" s="347"/>
      <c r="V171" s="348"/>
      <c r="W171" s="347"/>
      <c r="X171" s="348"/>
      <c r="Y171" s="347"/>
      <c r="Z171" s="348"/>
      <c r="AA171" s="340" t="e">
        <f t="shared" si="84"/>
        <v>#N/A</v>
      </c>
      <c r="AB171" s="339">
        <f t="shared" si="98"/>
      </c>
      <c r="AC171" s="339">
        <f t="shared" si="99"/>
      </c>
      <c r="AD171" s="255">
        <f t="shared" si="100"/>
      </c>
      <c r="AE171" s="256">
        <f t="shared" si="101"/>
      </c>
      <c r="AF171" s="256">
        <f t="shared" si="102"/>
      </c>
      <c r="AG171" s="255">
        <f t="shared" si="103"/>
      </c>
      <c r="AH171" s="255">
        <f t="shared" si="85"/>
      </c>
      <c r="AI171" s="255">
        <f t="shared" si="104"/>
      </c>
      <c r="AJ171" s="255">
        <f t="shared" si="105"/>
      </c>
      <c r="AK171" s="255">
        <f t="shared" si="86"/>
      </c>
      <c r="AL171" s="255">
        <f t="shared" si="87"/>
      </c>
      <c r="AM171" s="120">
        <f ca="1" t="shared" si="110"/>
        <v>0</v>
      </c>
      <c r="AN171" s="120" t="e">
        <f t="shared" si="88"/>
        <v>#N/A</v>
      </c>
      <c r="AO171" s="120">
        <f>ROWS($AO$4:AO171)-1</f>
        <v>167</v>
      </c>
      <c r="AP171" s="255" t="e">
        <f t="shared" si="111"/>
        <v>#N/A</v>
      </c>
      <c r="AQ171" s="120" t="e">
        <f t="shared" si="89"/>
        <v>#N/A</v>
      </c>
      <c r="AR171" s="120" t="e">
        <f t="shared" si="117"/>
        <v>#N/A</v>
      </c>
      <c r="AS171" s="121">
        <f t="shared" si="112"/>
        <v>1</v>
      </c>
      <c r="AT171" s="120" t="str">
        <f t="shared" si="113"/>
        <v> </v>
      </c>
      <c r="AU171" s="120" t="str">
        <f t="shared" si="114"/>
        <v> </v>
      </c>
      <c r="AV171" s="120" t="e">
        <f t="shared" si="90"/>
        <v>#N/A</v>
      </c>
      <c r="AW171" s="120" t="e">
        <f t="shared" si="91"/>
        <v>#N/A</v>
      </c>
      <c r="AX171" s="120">
        <f t="shared" si="92"/>
      </c>
      <c r="AY171" s="120" t="e">
        <f t="shared" si="93"/>
        <v>#N/A</v>
      </c>
      <c r="AZ171" s="120" t="e">
        <f>VLOOKUP(AY171,'排出係数表'!$A$4:$C$202,2,FALSE)</f>
        <v>#N/A</v>
      </c>
      <c r="BA171" s="120" t="e">
        <f t="shared" si="94"/>
        <v>#N/A</v>
      </c>
      <c r="BB171" s="120" t="e">
        <f>VLOOKUP(AY171,'排出係数表'!$A$4:$C$202,3,FALSE)</f>
        <v>#N/A</v>
      </c>
      <c r="BC171" s="120" t="e">
        <f t="shared" si="95"/>
        <v>#N/A</v>
      </c>
      <c r="BD171" s="120">
        <f t="shared" si="106"/>
        <v>1</v>
      </c>
      <c r="BE171" s="122">
        <f t="shared" si="96"/>
      </c>
      <c r="BF171" s="123" t="e">
        <f t="shared" si="118"/>
        <v>#VALUE!</v>
      </c>
      <c r="BG171" s="122">
        <f t="shared" si="107"/>
      </c>
      <c r="BH171" s="120" t="e">
        <f t="shared" si="108"/>
        <v>#VALUE!</v>
      </c>
      <c r="BI171" s="120" t="e">
        <f t="shared" si="109"/>
        <v>#VALUE!</v>
      </c>
      <c r="BJ171" s="122" t="e">
        <f>VLOOKUP(AY171,'排出係数表'!$A$4:$D$202,4)</f>
        <v>#N/A</v>
      </c>
      <c r="BK171" s="257">
        <f t="shared" si="116"/>
      </c>
    </row>
    <row r="172" spans="1:63" s="124" customFormat="1" ht="13.5" customHeight="1">
      <c r="A172" s="120"/>
      <c r="B172" s="120"/>
      <c r="C172" s="155"/>
      <c r="D172" s="155"/>
      <c r="E172" s="155"/>
      <c r="F172" s="155"/>
      <c r="G172" s="156"/>
      <c r="H172" s="157"/>
      <c r="I172" s="155"/>
      <c r="J172" s="155"/>
      <c r="K172" s="158"/>
      <c r="L172" s="159"/>
      <c r="M172" s="244"/>
      <c r="N172" s="155"/>
      <c r="O172" s="345">
        <f t="shared" si="97"/>
      </c>
      <c r="P172" s="345">
        <f t="shared" si="83"/>
      </c>
      <c r="Q172" s="508"/>
      <c r="R172" s="346"/>
      <c r="S172" s="347"/>
      <c r="T172" s="348"/>
      <c r="U172" s="347"/>
      <c r="V172" s="348"/>
      <c r="W172" s="347"/>
      <c r="X172" s="348"/>
      <c r="Y172" s="347"/>
      <c r="Z172" s="348"/>
      <c r="AA172" s="340" t="e">
        <f t="shared" si="84"/>
        <v>#N/A</v>
      </c>
      <c r="AB172" s="339">
        <f t="shared" si="98"/>
      </c>
      <c r="AC172" s="339">
        <f t="shared" si="99"/>
      </c>
      <c r="AD172" s="255">
        <f t="shared" si="100"/>
      </c>
      <c r="AE172" s="256">
        <f t="shared" si="101"/>
      </c>
      <c r="AF172" s="256">
        <f t="shared" si="102"/>
      </c>
      <c r="AG172" s="255">
        <f t="shared" si="103"/>
      </c>
      <c r="AH172" s="255">
        <f t="shared" si="85"/>
      </c>
      <c r="AI172" s="255">
        <f t="shared" si="104"/>
      </c>
      <c r="AJ172" s="255">
        <f t="shared" si="105"/>
      </c>
      <c r="AK172" s="255">
        <f t="shared" si="86"/>
      </c>
      <c r="AL172" s="255">
        <f t="shared" si="87"/>
      </c>
      <c r="AM172" s="120">
        <f ca="1" t="shared" si="110"/>
        <v>0</v>
      </c>
      <c r="AN172" s="120" t="e">
        <f t="shared" si="88"/>
        <v>#N/A</v>
      </c>
      <c r="AO172" s="120">
        <f>ROWS($AO$4:AO172)-1</f>
        <v>168</v>
      </c>
      <c r="AP172" s="255" t="e">
        <f t="shared" si="111"/>
        <v>#N/A</v>
      </c>
      <c r="AQ172" s="120" t="e">
        <f t="shared" si="89"/>
        <v>#N/A</v>
      </c>
      <c r="AR172" s="120" t="e">
        <f t="shared" si="117"/>
        <v>#N/A</v>
      </c>
      <c r="AS172" s="121">
        <f t="shared" si="112"/>
        <v>1</v>
      </c>
      <c r="AT172" s="120" t="str">
        <f t="shared" si="113"/>
        <v> </v>
      </c>
      <c r="AU172" s="120" t="str">
        <f t="shared" si="114"/>
        <v> </v>
      </c>
      <c r="AV172" s="120" t="e">
        <f t="shared" si="90"/>
        <v>#N/A</v>
      </c>
      <c r="AW172" s="120" t="e">
        <f t="shared" si="91"/>
        <v>#N/A</v>
      </c>
      <c r="AX172" s="120">
        <f t="shared" si="92"/>
      </c>
      <c r="AY172" s="120" t="e">
        <f t="shared" si="93"/>
        <v>#N/A</v>
      </c>
      <c r="AZ172" s="120" t="e">
        <f>VLOOKUP(AY172,'排出係数表'!$A$4:$C$202,2,FALSE)</f>
        <v>#N/A</v>
      </c>
      <c r="BA172" s="120" t="e">
        <f t="shared" si="94"/>
        <v>#N/A</v>
      </c>
      <c r="BB172" s="120" t="e">
        <f>VLOOKUP(AY172,'排出係数表'!$A$4:$C$202,3,FALSE)</f>
        <v>#N/A</v>
      </c>
      <c r="BC172" s="120" t="e">
        <f t="shared" si="95"/>
        <v>#N/A</v>
      </c>
      <c r="BD172" s="120">
        <f t="shared" si="106"/>
        <v>1</v>
      </c>
      <c r="BE172" s="122">
        <f t="shared" si="96"/>
      </c>
      <c r="BF172" s="123" t="e">
        <f t="shared" si="118"/>
        <v>#VALUE!</v>
      </c>
      <c r="BG172" s="122">
        <f t="shared" si="107"/>
      </c>
      <c r="BH172" s="120" t="e">
        <f t="shared" si="108"/>
        <v>#VALUE!</v>
      </c>
      <c r="BI172" s="120" t="e">
        <f t="shared" si="109"/>
        <v>#VALUE!</v>
      </c>
      <c r="BJ172" s="122" t="e">
        <f>VLOOKUP(AY172,'排出係数表'!$A$4:$D$202,4)</f>
        <v>#N/A</v>
      </c>
      <c r="BK172" s="257">
        <f t="shared" si="116"/>
      </c>
    </row>
    <row r="173" spans="1:63" s="124" customFormat="1" ht="13.5" customHeight="1">
      <c r="A173" s="120"/>
      <c r="B173" s="120"/>
      <c r="C173" s="155"/>
      <c r="D173" s="155"/>
      <c r="E173" s="155"/>
      <c r="F173" s="155"/>
      <c r="G173" s="156"/>
      <c r="H173" s="157"/>
      <c r="I173" s="155"/>
      <c r="J173" s="155"/>
      <c r="K173" s="158"/>
      <c r="L173" s="159"/>
      <c r="M173" s="244"/>
      <c r="N173" s="155"/>
      <c r="O173" s="345">
        <f t="shared" si="97"/>
      </c>
      <c r="P173" s="345">
        <f t="shared" si="83"/>
      </c>
      <c r="Q173" s="508"/>
      <c r="R173" s="346"/>
      <c r="S173" s="347"/>
      <c r="T173" s="348"/>
      <c r="U173" s="347"/>
      <c r="V173" s="348"/>
      <c r="W173" s="347"/>
      <c r="X173" s="348"/>
      <c r="Y173" s="347"/>
      <c r="Z173" s="348"/>
      <c r="AA173" s="340" t="e">
        <f t="shared" si="84"/>
        <v>#N/A</v>
      </c>
      <c r="AB173" s="339">
        <f t="shared" si="98"/>
      </c>
      <c r="AC173" s="339">
        <f t="shared" si="99"/>
      </c>
      <c r="AD173" s="255">
        <f t="shared" si="100"/>
      </c>
      <c r="AE173" s="256">
        <f t="shared" si="101"/>
      </c>
      <c r="AF173" s="256">
        <f t="shared" si="102"/>
      </c>
      <c r="AG173" s="255">
        <f t="shared" si="103"/>
      </c>
      <c r="AH173" s="255">
        <f t="shared" si="85"/>
      </c>
      <c r="AI173" s="255">
        <f t="shared" si="104"/>
      </c>
      <c r="AJ173" s="255">
        <f t="shared" si="105"/>
      </c>
      <c r="AK173" s="255">
        <f t="shared" si="86"/>
      </c>
      <c r="AL173" s="255">
        <f t="shared" si="87"/>
      </c>
      <c r="AM173" s="120">
        <f ca="1" t="shared" si="110"/>
        <v>0</v>
      </c>
      <c r="AN173" s="120" t="e">
        <f t="shared" si="88"/>
        <v>#N/A</v>
      </c>
      <c r="AO173" s="120">
        <f>ROWS($AO$4:AO173)-1</f>
        <v>169</v>
      </c>
      <c r="AP173" s="255" t="e">
        <f t="shared" si="111"/>
        <v>#N/A</v>
      </c>
      <c r="AQ173" s="120" t="e">
        <f t="shared" si="89"/>
        <v>#N/A</v>
      </c>
      <c r="AR173" s="120" t="e">
        <f t="shared" si="117"/>
        <v>#N/A</v>
      </c>
      <c r="AS173" s="121">
        <f t="shared" si="112"/>
        <v>1</v>
      </c>
      <c r="AT173" s="120" t="str">
        <f t="shared" si="113"/>
        <v> </v>
      </c>
      <c r="AU173" s="120" t="str">
        <f t="shared" si="114"/>
        <v> </v>
      </c>
      <c r="AV173" s="120" t="e">
        <f t="shared" si="90"/>
        <v>#N/A</v>
      </c>
      <c r="AW173" s="120" t="e">
        <f t="shared" si="91"/>
        <v>#N/A</v>
      </c>
      <c r="AX173" s="120">
        <f t="shared" si="92"/>
      </c>
      <c r="AY173" s="120" t="e">
        <f t="shared" si="93"/>
        <v>#N/A</v>
      </c>
      <c r="AZ173" s="120" t="e">
        <f>VLOOKUP(AY173,'排出係数表'!$A$4:$C$202,2,FALSE)</f>
        <v>#N/A</v>
      </c>
      <c r="BA173" s="120" t="e">
        <f t="shared" si="94"/>
        <v>#N/A</v>
      </c>
      <c r="BB173" s="120" t="e">
        <f>VLOOKUP(AY173,'排出係数表'!$A$4:$C$202,3,FALSE)</f>
        <v>#N/A</v>
      </c>
      <c r="BC173" s="120" t="e">
        <f t="shared" si="95"/>
        <v>#N/A</v>
      </c>
      <c r="BD173" s="120">
        <f t="shared" si="106"/>
        <v>1</v>
      </c>
      <c r="BE173" s="122">
        <f t="shared" si="96"/>
      </c>
      <c r="BF173" s="123" t="e">
        <f t="shared" si="118"/>
        <v>#VALUE!</v>
      </c>
      <c r="BG173" s="122">
        <f t="shared" si="107"/>
      </c>
      <c r="BH173" s="120" t="e">
        <f t="shared" si="108"/>
        <v>#VALUE!</v>
      </c>
      <c r="BI173" s="120" t="e">
        <f t="shared" si="109"/>
        <v>#VALUE!</v>
      </c>
      <c r="BJ173" s="122" t="e">
        <f>VLOOKUP(AY173,'排出係数表'!$A$4:$D$202,4)</f>
        <v>#N/A</v>
      </c>
      <c r="BK173" s="257">
        <f t="shared" si="116"/>
      </c>
    </row>
    <row r="174" spans="1:63" s="124" customFormat="1" ht="13.5" customHeight="1">
      <c r="A174" s="120"/>
      <c r="B174" s="120"/>
      <c r="C174" s="155"/>
      <c r="D174" s="155"/>
      <c r="E174" s="155"/>
      <c r="F174" s="155"/>
      <c r="G174" s="156"/>
      <c r="H174" s="157"/>
      <c r="I174" s="155"/>
      <c r="J174" s="155"/>
      <c r="K174" s="158"/>
      <c r="L174" s="159"/>
      <c r="M174" s="244"/>
      <c r="N174" s="155"/>
      <c r="O174" s="345">
        <f t="shared" si="97"/>
      </c>
      <c r="P174" s="345">
        <f t="shared" si="83"/>
      </c>
      <c r="Q174" s="508"/>
      <c r="R174" s="346"/>
      <c r="S174" s="347"/>
      <c r="T174" s="348"/>
      <c r="U174" s="347"/>
      <c r="V174" s="348"/>
      <c r="W174" s="347"/>
      <c r="X174" s="348"/>
      <c r="Y174" s="347"/>
      <c r="Z174" s="348"/>
      <c r="AA174" s="340" t="e">
        <f t="shared" si="84"/>
        <v>#N/A</v>
      </c>
      <c r="AB174" s="339">
        <f t="shared" si="98"/>
      </c>
      <c r="AC174" s="339">
        <f t="shared" si="99"/>
      </c>
      <c r="AD174" s="255">
        <f t="shared" si="100"/>
      </c>
      <c r="AE174" s="256">
        <f t="shared" si="101"/>
      </c>
      <c r="AF174" s="256">
        <f t="shared" si="102"/>
      </c>
      <c r="AG174" s="255">
        <f t="shared" si="103"/>
      </c>
      <c r="AH174" s="255">
        <f t="shared" si="85"/>
      </c>
      <c r="AI174" s="255">
        <f t="shared" si="104"/>
      </c>
      <c r="AJ174" s="255">
        <f t="shared" si="105"/>
      </c>
      <c r="AK174" s="255">
        <f t="shared" si="86"/>
      </c>
      <c r="AL174" s="255">
        <f t="shared" si="87"/>
      </c>
      <c r="AM174" s="120">
        <f ca="1" t="shared" si="110"/>
        <v>0</v>
      </c>
      <c r="AN174" s="120" t="e">
        <f t="shared" si="88"/>
        <v>#N/A</v>
      </c>
      <c r="AO174" s="120">
        <f>ROWS($AO$4:AO174)-1</f>
        <v>170</v>
      </c>
      <c r="AP174" s="255" t="e">
        <f t="shared" si="111"/>
        <v>#N/A</v>
      </c>
      <c r="AQ174" s="120" t="e">
        <f t="shared" si="89"/>
        <v>#N/A</v>
      </c>
      <c r="AR174" s="120" t="e">
        <f t="shared" si="117"/>
        <v>#N/A</v>
      </c>
      <c r="AS174" s="121">
        <f t="shared" si="112"/>
        <v>1</v>
      </c>
      <c r="AT174" s="120" t="str">
        <f t="shared" si="113"/>
        <v> </v>
      </c>
      <c r="AU174" s="120" t="str">
        <f t="shared" si="114"/>
        <v> </v>
      </c>
      <c r="AV174" s="120" t="e">
        <f t="shared" si="90"/>
        <v>#N/A</v>
      </c>
      <c r="AW174" s="120" t="e">
        <f t="shared" si="91"/>
        <v>#N/A</v>
      </c>
      <c r="AX174" s="120">
        <f t="shared" si="92"/>
      </c>
      <c r="AY174" s="120" t="e">
        <f t="shared" si="93"/>
        <v>#N/A</v>
      </c>
      <c r="AZ174" s="120" t="e">
        <f>VLOOKUP(AY174,'排出係数表'!$A$4:$C$202,2,FALSE)</f>
        <v>#N/A</v>
      </c>
      <c r="BA174" s="120" t="e">
        <f t="shared" si="94"/>
        <v>#N/A</v>
      </c>
      <c r="BB174" s="120" t="e">
        <f>VLOOKUP(AY174,'排出係数表'!$A$4:$C$202,3,FALSE)</f>
        <v>#N/A</v>
      </c>
      <c r="BC174" s="120" t="e">
        <f t="shared" si="95"/>
        <v>#N/A</v>
      </c>
      <c r="BD174" s="120">
        <f t="shared" si="106"/>
        <v>1</v>
      </c>
      <c r="BE174" s="122">
        <f t="shared" si="96"/>
      </c>
      <c r="BF174" s="123" t="e">
        <f aca="true" t="shared" si="119" ref="BF174:BF221">VALUE(LEFT(J174,2))</f>
        <v>#VALUE!</v>
      </c>
      <c r="BG174" s="122">
        <f t="shared" si="107"/>
      </c>
      <c r="BH174" s="120" t="e">
        <f t="shared" si="108"/>
        <v>#VALUE!</v>
      </c>
      <c r="BI174" s="120" t="e">
        <f t="shared" si="109"/>
        <v>#VALUE!</v>
      </c>
      <c r="BJ174" s="122" t="e">
        <f>VLOOKUP(AY174,'排出係数表'!$A$4:$D$202,4)</f>
        <v>#N/A</v>
      </c>
      <c r="BK174" s="257">
        <f t="shared" si="116"/>
      </c>
    </row>
    <row r="175" spans="1:63" s="124" customFormat="1" ht="13.5" customHeight="1">
      <c r="A175" s="120"/>
      <c r="B175" s="120"/>
      <c r="C175" s="155"/>
      <c r="D175" s="155"/>
      <c r="E175" s="155"/>
      <c r="F175" s="155"/>
      <c r="G175" s="156"/>
      <c r="H175" s="157"/>
      <c r="I175" s="155"/>
      <c r="J175" s="155"/>
      <c r="K175" s="158"/>
      <c r="L175" s="159"/>
      <c r="M175" s="244"/>
      <c r="N175" s="155"/>
      <c r="O175" s="345">
        <f t="shared" si="97"/>
      </c>
      <c r="P175" s="345">
        <f t="shared" si="83"/>
      </c>
      <c r="Q175" s="508"/>
      <c r="R175" s="346"/>
      <c r="S175" s="347"/>
      <c r="T175" s="348"/>
      <c r="U175" s="347"/>
      <c r="V175" s="348"/>
      <c r="W175" s="347"/>
      <c r="X175" s="348"/>
      <c r="Y175" s="347"/>
      <c r="Z175" s="348"/>
      <c r="AA175" s="340" t="e">
        <f t="shared" si="84"/>
        <v>#N/A</v>
      </c>
      <c r="AB175" s="339">
        <f t="shared" si="98"/>
      </c>
      <c r="AC175" s="339">
        <f t="shared" si="99"/>
      </c>
      <c r="AD175" s="255">
        <f t="shared" si="100"/>
      </c>
      <c r="AE175" s="256">
        <f t="shared" si="101"/>
      </c>
      <c r="AF175" s="256">
        <f t="shared" si="102"/>
      </c>
      <c r="AG175" s="255">
        <f t="shared" si="103"/>
      </c>
      <c r="AH175" s="255">
        <f t="shared" si="85"/>
      </c>
      <c r="AI175" s="255">
        <f t="shared" si="104"/>
      </c>
      <c r="AJ175" s="255">
        <f t="shared" si="105"/>
      </c>
      <c r="AK175" s="255">
        <f t="shared" si="86"/>
      </c>
      <c r="AL175" s="255">
        <f t="shared" si="87"/>
      </c>
      <c r="AM175" s="120">
        <f ca="1" t="shared" si="110"/>
        <v>0</v>
      </c>
      <c r="AN175" s="120" t="e">
        <f t="shared" si="88"/>
        <v>#N/A</v>
      </c>
      <c r="AO175" s="120">
        <f>ROWS($AO$4:AO175)-1</f>
        <v>171</v>
      </c>
      <c r="AP175" s="255" t="e">
        <f t="shared" si="111"/>
        <v>#N/A</v>
      </c>
      <c r="AQ175" s="120" t="e">
        <f t="shared" si="89"/>
        <v>#N/A</v>
      </c>
      <c r="AR175" s="120" t="e">
        <f t="shared" si="117"/>
        <v>#N/A</v>
      </c>
      <c r="AS175" s="121">
        <f t="shared" si="112"/>
        <v>1</v>
      </c>
      <c r="AT175" s="120" t="str">
        <f t="shared" si="113"/>
        <v> </v>
      </c>
      <c r="AU175" s="120" t="str">
        <f t="shared" si="114"/>
        <v> </v>
      </c>
      <c r="AV175" s="120" t="e">
        <f t="shared" si="90"/>
        <v>#N/A</v>
      </c>
      <c r="AW175" s="120" t="e">
        <f t="shared" si="91"/>
        <v>#N/A</v>
      </c>
      <c r="AX175" s="120">
        <f t="shared" si="92"/>
      </c>
      <c r="AY175" s="120" t="e">
        <f t="shared" si="93"/>
        <v>#N/A</v>
      </c>
      <c r="AZ175" s="120" t="e">
        <f>VLOOKUP(AY175,'排出係数表'!$A$4:$C$202,2,FALSE)</f>
        <v>#N/A</v>
      </c>
      <c r="BA175" s="120" t="e">
        <f t="shared" si="94"/>
        <v>#N/A</v>
      </c>
      <c r="BB175" s="120" t="e">
        <f>VLOOKUP(AY175,'排出係数表'!$A$4:$C$202,3,FALSE)</f>
        <v>#N/A</v>
      </c>
      <c r="BC175" s="120" t="e">
        <f t="shared" si="95"/>
        <v>#N/A</v>
      </c>
      <c r="BD175" s="120">
        <f t="shared" si="106"/>
        <v>1</v>
      </c>
      <c r="BE175" s="122">
        <f t="shared" si="96"/>
      </c>
      <c r="BF175" s="123" t="e">
        <f t="shared" si="119"/>
        <v>#VALUE!</v>
      </c>
      <c r="BG175" s="122">
        <f t="shared" si="107"/>
      </c>
      <c r="BH175" s="120" t="e">
        <f t="shared" si="108"/>
        <v>#VALUE!</v>
      </c>
      <c r="BI175" s="120" t="e">
        <f t="shared" si="109"/>
        <v>#VALUE!</v>
      </c>
      <c r="BJ175" s="122" t="e">
        <f>VLOOKUP(AY175,'排出係数表'!$A$4:$D$202,4)</f>
        <v>#N/A</v>
      </c>
      <c r="BK175" s="257">
        <f t="shared" si="116"/>
      </c>
    </row>
    <row r="176" spans="1:63" s="124" customFormat="1" ht="13.5" customHeight="1">
      <c r="A176" s="120"/>
      <c r="B176" s="120"/>
      <c r="C176" s="155"/>
      <c r="D176" s="155"/>
      <c r="E176" s="155"/>
      <c r="F176" s="155"/>
      <c r="G176" s="156"/>
      <c r="H176" s="157"/>
      <c r="I176" s="155"/>
      <c r="J176" s="155"/>
      <c r="K176" s="158"/>
      <c r="L176" s="159"/>
      <c r="M176" s="244"/>
      <c r="N176" s="155"/>
      <c r="O176" s="345">
        <f t="shared" si="97"/>
      </c>
      <c r="P176" s="345">
        <f t="shared" si="83"/>
      </c>
      <c r="Q176" s="508"/>
      <c r="R176" s="346"/>
      <c r="S176" s="347"/>
      <c r="T176" s="348"/>
      <c r="U176" s="347"/>
      <c r="V176" s="348"/>
      <c r="W176" s="347"/>
      <c r="X176" s="348"/>
      <c r="Y176" s="347"/>
      <c r="Z176" s="348"/>
      <c r="AA176" s="340" t="e">
        <f t="shared" si="84"/>
        <v>#N/A</v>
      </c>
      <c r="AB176" s="339">
        <f t="shared" si="98"/>
      </c>
      <c r="AC176" s="339">
        <f t="shared" si="99"/>
      </c>
      <c r="AD176" s="255">
        <f t="shared" si="100"/>
      </c>
      <c r="AE176" s="256">
        <f t="shared" si="101"/>
      </c>
      <c r="AF176" s="256">
        <f t="shared" si="102"/>
      </c>
      <c r="AG176" s="255">
        <f t="shared" si="103"/>
      </c>
      <c r="AH176" s="255">
        <f t="shared" si="85"/>
      </c>
      <c r="AI176" s="255">
        <f t="shared" si="104"/>
      </c>
      <c r="AJ176" s="255">
        <f t="shared" si="105"/>
      </c>
      <c r="AK176" s="255">
        <f t="shared" si="86"/>
      </c>
      <c r="AL176" s="255">
        <f t="shared" si="87"/>
      </c>
      <c r="AM176" s="120">
        <f ca="1" t="shared" si="110"/>
        <v>0</v>
      </c>
      <c r="AN176" s="120" t="e">
        <f t="shared" si="88"/>
        <v>#N/A</v>
      </c>
      <c r="AO176" s="120">
        <f>ROWS($AO$4:AO176)-1</f>
        <v>172</v>
      </c>
      <c r="AP176" s="255" t="e">
        <f t="shared" si="111"/>
        <v>#N/A</v>
      </c>
      <c r="AQ176" s="120" t="e">
        <f t="shared" si="89"/>
        <v>#N/A</v>
      </c>
      <c r="AR176" s="120" t="e">
        <f t="shared" si="117"/>
        <v>#N/A</v>
      </c>
      <c r="AS176" s="121">
        <f t="shared" si="112"/>
        <v>1</v>
      </c>
      <c r="AT176" s="120" t="str">
        <f t="shared" si="113"/>
        <v> </v>
      </c>
      <c r="AU176" s="120" t="str">
        <f t="shared" si="114"/>
        <v> </v>
      </c>
      <c r="AV176" s="120" t="e">
        <f t="shared" si="90"/>
        <v>#N/A</v>
      </c>
      <c r="AW176" s="120" t="e">
        <f t="shared" si="91"/>
        <v>#N/A</v>
      </c>
      <c r="AX176" s="120">
        <f t="shared" si="92"/>
      </c>
      <c r="AY176" s="120" t="e">
        <f t="shared" si="93"/>
        <v>#N/A</v>
      </c>
      <c r="AZ176" s="120" t="e">
        <f>VLOOKUP(AY176,'排出係数表'!$A$4:$C$202,2,FALSE)</f>
        <v>#N/A</v>
      </c>
      <c r="BA176" s="120" t="e">
        <f t="shared" si="94"/>
        <v>#N/A</v>
      </c>
      <c r="BB176" s="120" t="e">
        <f>VLOOKUP(AY176,'排出係数表'!$A$4:$C$202,3,FALSE)</f>
        <v>#N/A</v>
      </c>
      <c r="BC176" s="120" t="e">
        <f t="shared" si="95"/>
        <v>#N/A</v>
      </c>
      <c r="BD176" s="120">
        <f t="shared" si="106"/>
        <v>1</v>
      </c>
      <c r="BE176" s="122">
        <f t="shared" si="96"/>
      </c>
      <c r="BF176" s="123" t="e">
        <f t="shared" si="119"/>
        <v>#VALUE!</v>
      </c>
      <c r="BG176" s="122">
        <f t="shared" si="107"/>
      </c>
      <c r="BH176" s="120" t="e">
        <f t="shared" si="108"/>
        <v>#VALUE!</v>
      </c>
      <c r="BI176" s="120" t="e">
        <f t="shared" si="109"/>
        <v>#VALUE!</v>
      </c>
      <c r="BJ176" s="122" t="e">
        <f>VLOOKUP(AY176,'排出係数表'!$A$4:$D$202,4)</f>
        <v>#N/A</v>
      </c>
      <c r="BK176" s="257">
        <f t="shared" si="116"/>
      </c>
    </row>
    <row r="177" spans="1:63" s="124" customFormat="1" ht="13.5" customHeight="1">
      <c r="A177" s="120"/>
      <c r="B177" s="120"/>
      <c r="C177" s="155"/>
      <c r="D177" s="155"/>
      <c r="E177" s="155"/>
      <c r="F177" s="155"/>
      <c r="G177" s="156"/>
      <c r="H177" s="157"/>
      <c r="I177" s="155"/>
      <c r="J177" s="155"/>
      <c r="K177" s="158"/>
      <c r="L177" s="159"/>
      <c r="M177" s="244"/>
      <c r="N177" s="155"/>
      <c r="O177" s="345">
        <f t="shared" si="97"/>
      </c>
      <c r="P177" s="345">
        <f t="shared" si="83"/>
      </c>
      <c r="Q177" s="508"/>
      <c r="R177" s="346"/>
      <c r="S177" s="347"/>
      <c r="T177" s="348"/>
      <c r="U177" s="347"/>
      <c r="V177" s="348"/>
      <c r="W177" s="347"/>
      <c r="X177" s="348"/>
      <c r="Y177" s="347"/>
      <c r="Z177" s="348"/>
      <c r="AA177" s="340" t="e">
        <f t="shared" si="84"/>
        <v>#N/A</v>
      </c>
      <c r="AB177" s="339">
        <f t="shared" si="98"/>
      </c>
      <c r="AC177" s="339">
        <f t="shared" si="99"/>
      </c>
      <c r="AD177" s="255">
        <f t="shared" si="100"/>
      </c>
      <c r="AE177" s="256">
        <f t="shared" si="101"/>
      </c>
      <c r="AF177" s="256">
        <f t="shared" si="102"/>
      </c>
      <c r="AG177" s="255">
        <f t="shared" si="103"/>
      </c>
      <c r="AH177" s="255">
        <f t="shared" si="85"/>
      </c>
      <c r="AI177" s="255">
        <f t="shared" si="104"/>
      </c>
      <c r="AJ177" s="255">
        <f t="shared" si="105"/>
      </c>
      <c r="AK177" s="255">
        <f t="shared" si="86"/>
      </c>
      <c r="AL177" s="255">
        <f t="shared" si="87"/>
      </c>
      <c r="AM177" s="120">
        <f ca="1" t="shared" si="110"/>
        <v>0</v>
      </c>
      <c r="AN177" s="120" t="e">
        <f t="shared" si="88"/>
        <v>#N/A</v>
      </c>
      <c r="AO177" s="120">
        <f>ROWS($AO$4:AO177)-1</f>
        <v>173</v>
      </c>
      <c r="AP177" s="255" t="e">
        <f t="shared" si="111"/>
        <v>#N/A</v>
      </c>
      <c r="AQ177" s="120" t="e">
        <f t="shared" si="89"/>
        <v>#N/A</v>
      </c>
      <c r="AR177" s="120" t="e">
        <f t="shared" si="117"/>
        <v>#N/A</v>
      </c>
      <c r="AS177" s="121">
        <f t="shared" si="112"/>
        <v>1</v>
      </c>
      <c r="AT177" s="120" t="str">
        <f t="shared" si="113"/>
        <v> </v>
      </c>
      <c r="AU177" s="120" t="str">
        <f t="shared" si="114"/>
        <v> </v>
      </c>
      <c r="AV177" s="120" t="e">
        <f t="shared" si="90"/>
        <v>#N/A</v>
      </c>
      <c r="AW177" s="120" t="e">
        <f t="shared" si="91"/>
        <v>#N/A</v>
      </c>
      <c r="AX177" s="120">
        <f t="shared" si="92"/>
      </c>
      <c r="AY177" s="120" t="e">
        <f t="shared" si="93"/>
        <v>#N/A</v>
      </c>
      <c r="AZ177" s="120" t="e">
        <f>VLOOKUP(AY177,'排出係数表'!$A$4:$C$202,2,FALSE)</f>
        <v>#N/A</v>
      </c>
      <c r="BA177" s="120" t="e">
        <f t="shared" si="94"/>
        <v>#N/A</v>
      </c>
      <c r="BB177" s="120" t="e">
        <f>VLOOKUP(AY177,'排出係数表'!$A$4:$C$202,3,FALSE)</f>
        <v>#N/A</v>
      </c>
      <c r="BC177" s="120" t="e">
        <f t="shared" si="95"/>
        <v>#N/A</v>
      </c>
      <c r="BD177" s="120">
        <f t="shared" si="106"/>
        <v>1</v>
      </c>
      <c r="BE177" s="122">
        <f t="shared" si="96"/>
      </c>
      <c r="BF177" s="123" t="e">
        <f t="shared" si="119"/>
        <v>#VALUE!</v>
      </c>
      <c r="BG177" s="122">
        <f t="shared" si="107"/>
      </c>
      <c r="BH177" s="120" t="e">
        <f t="shared" si="108"/>
        <v>#VALUE!</v>
      </c>
      <c r="BI177" s="120" t="e">
        <f t="shared" si="109"/>
        <v>#VALUE!</v>
      </c>
      <c r="BJ177" s="122" t="e">
        <f>VLOOKUP(AY177,'排出係数表'!$A$4:$D$202,4)</f>
        <v>#N/A</v>
      </c>
      <c r="BK177" s="257">
        <f t="shared" si="116"/>
      </c>
    </row>
    <row r="178" spans="1:63" s="124" customFormat="1" ht="13.5" customHeight="1">
      <c r="A178" s="120"/>
      <c r="B178" s="120"/>
      <c r="C178" s="155"/>
      <c r="D178" s="155"/>
      <c r="E178" s="155"/>
      <c r="F178" s="155"/>
      <c r="G178" s="156"/>
      <c r="H178" s="157"/>
      <c r="I178" s="155"/>
      <c r="J178" s="155"/>
      <c r="K178" s="158"/>
      <c r="L178" s="159"/>
      <c r="M178" s="244"/>
      <c r="N178" s="155"/>
      <c r="O178" s="345">
        <f t="shared" si="97"/>
      </c>
      <c r="P178" s="345">
        <f t="shared" si="83"/>
      </c>
      <c r="Q178" s="508"/>
      <c r="R178" s="346"/>
      <c r="S178" s="347"/>
      <c r="T178" s="348"/>
      <c r="U178" s="347"/>
      <c r="V178" s="348"/>
      <c r="W178" s="347"/>
      <c r="X178" s="348"/>
      <c r="Y178" s="347"/>
      <c r="Z178" s="348"/>
      <c r="AA178" s="340" t="e">
        <f t="shared" si="84"/>
        <v>#N/A</v>
      </c>
      <c r="AB178" s="339">
        <f t="shared" si="98"/>
      </c>
      <c r="AC178" s="339">
        <f t="shared" si="99"/>
      </c>
      <c r="AD178" s="255">
        <f t="shared" si="100"/>
      </c>
      <c r="AE178" s="256">
        <f t="shared" si="101"/>
      </c>
      <c r="AF178" s="256">
        <f t="shared" si="102"/>
      </c>
      <c r="AG178" s="255">
        <f t="shared" si="103"/>
      </c>
      <c r="AH178" s="255">
        <f t="shared" si="85"/>
      </c>
      <c r="AI178" s="255">
        <f t="shared" si="104"/>
      </c>
      <c r="AJ178" s="255">
        <f t="shared" si="105"/>
      </c>
      <c r="AK178" s="255">
        <f t="shared" si="86"/>
      </c>
      <c r="AL178" s="255">
        <f t="shared" si="87"/>
      </c>
      <c r="AM178" s="120">
        <f ca="1" t="shared" si="110"/>
        <v>0</v>
      </c>
      <c r="AN178" s="120" t="e">
        <f t="shared" si="88"/>
        <v>#N/A</v>
      </c>
      <c r="AO178" s="120">
        <f>ROWS($AO$4:AO178)-1</f>
        <v>174</v>
      </c>
      <c r="AP178" s="255" t="e">
        <f t="shared" si="111"/>
        <v>#N/A</v>
      </c>
      <c r="AQ178" s="120" t="e">
        <f t="shared" si="89"/>
        <v>#N/A</v>
      </c>
      <c r="AR178" s="120" t="e">
        <f t="shared" si="117"/>
        <v>#N/A</v>
      </c>
      <c r="AS178" s="121">
        <f t="shared" si="112"/>
        <v>1</v>
      </c>
      <c r="AT178" s="120" t="str">
        <f t="shared" si="113"/>
        <v> </v>
      </c>
      <c r="AU178" s="120" t="str">
        <f t="shared" si="114"/>
        <v> </v>
      </c>
      <c r="AV178" s="120" t="e">
        <f t="shared" si="90"/>
        <v>#N/A</v>
      </c>
      <c r="AW178" s="120" t="e">
        <f t="shared" si="91"/>
        <v>#N/A</v>
      </c>
      <c r="AX178" s="120">
        <f t="shared" si="92"/>
      </c>
      <c r="AY178" s="120" t="e">
        <f t="shared" si="93"/>
        <v>#N/A</v>
      </c>
      <c r="AZ178" s="120" t="e">
        <f>VLOOKUP(AY178,'排出係数表'!$A$4:$C$202,2,FALSE)</f>
        <v>#N/A</v>
      </c>
      <c r="BA178" s="120" t="e">
        <f t="shared" si="94"/>
        <v>#N/A</v>
      </c>
      <c r="BB178" s="120" t="e">
        <f>VLOOKUP(AY178,'排出係数表'!$A$4:$C$202,3,FALSE)</f>
        <v>#N/A</v>
      </c>
      <c r="BC178" s="120" t="e">
        <f t="shared" si="95"/>
        <v>#N/A</v>
      </c>
      <c r="BD178" s="120">
        <f t="shared" si="106"/>
        <v>1</v>
      </c>
      <c r="BE178" s="122">
        <f t="shared" si="96"/>
      </c>
      <c r="BF178" s="123" t="e">
        <f t="shared" si="119"/>
        <v>#VALUE!</v>
      </c>
      <c r="BG178" s="122">
        <f t="shared" si="107"/>
      </c>
      <c r="BH178" s="120" t="e">
        <f t="shared" si="108"/>
        <v>#VALUE!</v>
      </c>
      <c r="BI178" s="120" t="e">
        <f t="shared" si="109"/>
        <v>#VALUE!</v>
      </c>
      <c r="BJ178" s="122" t="e">
        <f>VLOOKUP(AY178,'排出係数表'!$A$4:$D$202,4)</f>
        <v>#N/A</v>
      </c>
      <c r="BK178" s="257">
        <f t="shared" si="116"/>
      </c>
    </row>
    <row r="179" spans="1:63" s="124" customFormat="1" ht="13.5" customHeight="1">
      <c r="A179" s="120"/>
      <c r="B179" s="120"/>
      <c r="C179" s="155"/>
      <c r="D179" s="155"/>
      <c r="E179" s="155"/>
      <c r="F179" s="155"/>
      <c r="G179" s="156"/>
      <c r="H179" s="157"/>
      <c r="I179" s="155"/>
      <c r="J179" s="155"/>
      <c r="K179" s="158"/>
      <c r="L179" s="159"/>
      <c r="M179" s="244"/>
      <c r="N179" s="155"/>
      <c r="O179" s="345">
        <f t="shared" si="97"/>
      </c>
      <c r="P179" s="345">
        <f t="shared" si="83"/>
      </c>
      <c r="Q179" s="508"/>
      <c r="R179" s="346"/>
      <c r="S179" s="347"/>
      <c r="T179" s="348"/>
      <c r="U179" s="347"/>
      <c r="V179" s="348"/>
      <c r="W179" s="347"/>
      <c r="X179" s="348"/>
      <c r="Y179" s="347"/>
      <c r="Z179" s="348"/>
      <c r="AA179" s="340" t="e">
        <f t="shared" si="84"/>
        <v>#N/A</v>
      </c>
      <c r="AB179" s="339">
        <f t="shared" si="98"/>
      </c>
      <c r="AC179" s="339">
        <f t="shared" si="99"/>
      </c>
      <c r="AD179" s="255">
        <f t="shared" si="100"/>
      </c>
      <c r="AE179" s="256">
        <f t="shared" si="101"/>
      </c>
      <c r="AF179" s="256">
        <f t="shared" si="102"/>
      </c>
      <c r="AG179" s="255">
        <f t="shared" si="103"/>
      </c>
      <c r="AH179" s="255">
        <f t="shared" si="85"/>
      </c>
      <c r="AI179" s="255">
        <f t="shared" si="104"/>
      </c>
      <c r="AJ179" s="255">
        <f t="shared" si="105"/>
      </c>
      <c r="AK179" s="255">
        <f t="shared" si="86"/>
      </c>
      <c r="AL179" s="255">
        <f t="shared" si="87"/>
      </c>
      <c r="AM179" s="120">
        <f ca="1" t="shared" si="110"/>
        <v>0</v>
      </c>
      <c r="AN179" s="120" t="e">
        <f t="shared" si="88"/>
        <v>#N/A</v>
      </c>
      <c r="AO179" s="120">
        <f>ROWS($AO$4:AO179)-1</f>
        <v>175</v>
      </c>
      <c r="AP179" s="255" t="e">
        <f t="shared" si="111"/>
        <v>#N/A</v>
      </c>
      <c r="AQ179" s="120" t="e">
        <f t="shared" si="89"/>
        <v>#N/A</v>
      </c>
      <c r="AR179" s="120" t="e">
        <f t="shared" si="117"/>
        <v>#N/A</v>
      </c>
      <c r="AS179" s="121">
        <f t="shared" si="112"/>
        <v>1</v>
      </c>
      <c r="AT179" s="120" t="str">
        <f t="shared" si="113"/>
        <v> </v>
      </c>
      <c r="AU179" s="120" t="str">
        <f t="shared" si="114"/>
        <v> </v>
      </c>
      <c r="AV179" s="120" t="e">
        <f t="shared" si="90"/>
        <v>#N/A</v>
      </c>
      <c r="AW179" s="120" t="e">
        <f t="shared" si="91"/>
        <v>#N/A</v>
      </c>
      <c r="AX179" s="120">
        <f t="shared" si="92"/>
      </c>
      <c r="AY179" s="120" t="e">
        <f t="shared" si="93"/>
        <v>#N/A</v>
      </c>
      <c r="AZ179" s="120" t="e">
        <f>VLOOKUP(AY179,'排出係数表'!$A$4:$C$202,2,FALSE)</f>
        <v>#N/A</v>
      </c>
      <c r="BA179" s="120" t="e">
        <f t="shared" si="94"/>
        <v>#N/A</v>
      </c>
      <c r="BB179" s="120" t="e">
        <f>VLOOKUP(AY179,'排出係数表'!$A$4:$C$202,3,FALSE)</f>
        <v>#N/A</v>
      </c>
      <c r="BC179" s="120" t="e">
        <f t="shared" si="95"/>
        <v>#N/A</v>
      </c>
      <c r="BD179" s="120">
        <f t="shared" si="106"/>
        <v>1</v>
      </c>
      <c r="BE179" s="122">
        <f t="shared" si="96"/>
      </c>
      <c r="BF179" s="123" t="e">
        <f t="shared" si="119"/>
        <v>#VALUE!</v>
      </c>
      <c r="BG179" s="122">
        <f t="shared" si="107"/>
      </c>
      <c r="BH179" s="120" t="e">
        <f t="shared" si="108"/>
        <v>#VALUE!</v>
      </c>
      <c r="BI179" s="120" t="e">
        <f t="shared" si="109"/>
        <v>#VALUE!</v>
      </c>
      <c r="BJ179" s="122" t="e">
        <f>VLOOKUP(AY179,'排出係数表'!$A$4:$D$202,4)</f>
        <v>#N/A</v>
      </c>
      <c r="BK179" s="257">
        <f t="shared" si="116"/>
      </c>
    </row>
    <row r="180" spans="1:63" s="124" customFormat="1" ht="13.5" customHeight="1">
      <c r="A180" s="120"/>
      <c r="B180" s="120"/>
      <c r="C180" s="155"/>
      <c r="D180" s="155"/>
      <c r="E180" s="155"/>
      <c r="F180" s="155"/>
      <c r="G180" s="156"/>
      <c r="H180" s="157"/>
      <c r="I180" s="155"/>
      <c r="J180" s="155"/>
      <c r="K180" s="158"/>
      <c r="L180" s="159"/>
      <c r="M180" s="244"/>
      <c r="N180" s="155"/>
      <c r="O180" s="345">
        <f t="shared" si="97"/>
      </c>
      <c r="P180" s="345">
        <f t="shared" si="83"/>
      </c>
      <c r="Q180" s="508"/>
      <c r="R180" s="346"/>
      <c r="S180" s="347"/>
      <c r="T180" s="348"/>
      <c r="U180" s="347"/>
      <c r="V180" s="348"/>
      <c r="W180" s="347"/>
      <c r="X180" s="348"/>
      <c r="Y180" s="347"/>
      <c r="Z180" s="348"/>
      <c r="AA180" s="340" t="e">
        <f t="shared" si="84"/>
        <v>#N/A</v>
      </c>
      <c r="AB180" s="339">
        <f t="shared" si="98"/>
      </c>
      <c r="AC180" s="339">
        <f t="shared" si="99"/>
      </c>
      <c r="AD180" s="255">
        <f t="shared" si="100"/>
      </c>
      <c r="AE180" s="256">
        <f t="shared" si="101"/>
      </c>
      <c r="AF180" s="256">
        <f t="shared" si="102"/>
      </c>
      <c r="AG180" s="255">
        <f t="shared" si="103"/>
      </c>
      <c r="AH180" s="255">
        <f t="shared" si="85"/>
      </c>
      <c r="AI180" s="255">
        <f t="shared" si="104"/>
      </c>
      <c r="AJ180" s="255">
        <f t="shared" si="105"/>
      </c>
      <c r="AK180" s="255">
        <f t="shared" si="86"/>
      </c>
      <c r="AL180" s="255">
        <f t="shared" si="87"/>
      </c>
      <c r="AM180" s="120">
        <f ca="1" t="shared" si="110"/>
        <v>0</v>
      </c>
      <c r="AN180" s="120" t="e">
        <f t="shared" si="88"/>
        <v>#N/A</v>
      </c>
      <c r="AO180" s="120">
        <f>ROWS($AO$4:AO180)-1</f>
        <v>176</v>
      </c>
      <c r="AP180" s="255" t="e">
        <f t="shared" si="111"/>
        <v>#N/A</v>
      </c>
      <c r="AQ180" s="120" t="e">
        <f t="shared" si="89"/>
        <v>#N/A</v>
      </c>
      <c r="AR180" s="120" t="e">
        <f t="shared" si="117"/>
        <v>#N/A</v>
      </c>
      <c r="AS180" s="121">
        <f t="shared" si="112"/>
        <v>1</v>
      </c>
      <c r="AT180" s="120" t="str">
        <f t="shared" si="113"/>
        <v> </v>
      </c>
      <c r="AU180" s="120" t="str">
        <f t="shared" si="114"/>
        <v> </v>
      </c>
      <c r="AV180" s="120" t="e">
        <f t="shared" si="90"/>
        <v>#N/A</v>
      </c>
      <c r="AW180" s="120" t="e">
        <f t="shared" si="91"/>
        <v>#N/A</v>
      </c>
      <c r="AX180" s="120">
        <f t="shared" si="92"/>
      </c>
      <c r="AY180" s="120" t="e">
        <f t="shared" si="93"/>
        <v>#N/A</v>
      </c>
      <c r="AZ180" s="120" t="e">
        <f>VLOOKUP(AY180,'排出係数表'!$A$4:$C$202,2,FALSE)</f>
        <v>#N/A</v>
      </c>
      <c r="BA180" s="120" t="e">
        <f t="shared" si="94"/>
        <v>#N/A</v>
      </c>
      <c r="BB180" s="120" t="e">
        <f>VLOOKUP(AY180,'排出係数表'!$A$4:$C$202,3,FALSE)</f>
        <v>#N/A</v>
      </c>
      <c r="BC180" s="120" t="e">
        <f t="shared" si="95"/>
        <v>#N/A</v>
      </c>
      <c r="BD180" s="120">
        <f t="shared" si="106"/>
        <v>1</v>
      </c>
      <c r="BE180" s="122">
        <f t="shared" si="96"/>
      </c>
      <c r="BF180" s="123" t="e">
        <f t="shared" si="119"/>
        <v>#VALUE!</v>
      </c>
      <c r="BG180" s="122">
        <f t="shared" si="107"/>
      </c>
      <c r="BH180" s="120" t="e">
        <f t="shared" si="108"/>
        <v>#VALUE!</v>
      </c>
      <c r="BI180" s="120" t="e">
        <f t="shared" si="109"/>
        <v>#VALUE!</v>
      </c>
      <c r="BJ180" s="122" t="e">
        <f>VLOOKUP(AY180,'排出係数表'!$A$4:$D$202,4)</f>
        <v>#N/A</v>
      </c>
      <c r="BK180" s="257">
        <f t="shared" si="116"/>
      </c>
    </row>
    <row r="181" spans="1:63" s="124" customFormat="1" ht="13.5" customHeight="1">
      <c r="A181" s="120"/>
      <c r="B181" s="120"/>
      <c r="C181" s="155"/>
      <c r="D181" s="155"/>
      <c r="E181" s="155"/>
      <c r="F181" s="155"/>
      <c r="G181" s="156"/>
      <c r="H181" s="157"/>
      <c r="I181" s="155"/>
      <c r="J181" s="155"/>
      <c r="K181" s="158"/>
      <c r="L181" s="159"/>
      <c r="M181" s="244"/>
      <c r="N181" s="155"/>
      <c r="O181" s="345">
        <f t="shared" si="97"/>
      </c>
      <c r="P181" s="345">
        <f t="shared" si="83"/>
      </c>
      <c r="Q181" s="508"/>
      <c r="R181" s="346"/>
      <c r="S181" s="347"/>
      <c r="T181" s="348"/>
      <c r="U181" s="347"/>
      <c r="V181" s="348"/>
      <c r="W181" s="347"/>
      <c r="X181" s="348"/>
      <c r="Y181" s="347"/>
      <c r="Z181" s="348"/>
      <c r="AA181" s="340" t="e">
        <f t="shared" si="84"/>
        <v>#N/A</v>
      </c>
      <c r="AB181" s="339">
        <f t="shared" si="98"/>
      </c>
      <c r="AC181" s="339">
        <f t="shared" si="99"/>
      </c>
      <c r="AD181" s="255">
        <f t="shared" si="100"/>
      </c>
      <c r="AE181" s="256">
        <f t="shared" si="101"/>
      </c>
      <c r="AF181" s="256">
        <f t="shared" si="102"/>
      </c>
      <c r="AG181" s="255">
        <f t="shared" si="103"/>
      </c>
      <c r="AH181" s="255">
        <f t="shared" si="85"/>
      </c>
      <c r="AI181" s="255">
        <f t="shared" si="104"/>
      </c>
      <c r="AJ181" s="255">
        <f t="shared" si="105"/>
      </c>
      <c r="AK181" s="255">
        <f t="shared" si="86"/>
      </c>
      <c r="AL181" s="255">
        <f t="shared" si="87"/>
      </c>
      <c r="AM181" s="120">
        <f ca="1" t="shared" si="110"/>
        <v>0</v>
      </c>
      <c r="AN181" s="120" t="e">
        <f t="shared" si="88"/>
        <v>#N/A</v>
      </c>
      <c r="AO181" s="120">
        <f>ROWS($AO$4:AO181)-1</f>
        <v>177</v>
      </c>
      <c r="AP181" s="255" t="e">
        <f t="shared" si="111"/>
        <v>#N/A</v>
      </c>
      <c r="AQ181" s="120" t="e">
        <f t="shared" si="89"/>
        <v>#N/A</v>
      </c>
      <c r="AR181" s="120" t="e">
        <f t="shared" si="117"/>
        <v>#N/A</v>
      </c>
      <c r="AS181" s="121">
        <f t="shared" si="112"/>
        <v>1</v>
      </c>
      <c r="AT181" s="120" t="str">
        <f t="shared" si="113"/>
        <v> </v>
      </c>
      <c r="AU181" s="120" t="str">
        <f t="shared" si="114"/>
        <v> </v>
      </c>
      <c r="AV181" s="120" t="e">
        <f t="shared" si="90"/>
        <v>#N/A</v>
      </c>
      <c r="AW181" s="120" t="e">
        <f t="shared" si="91"/>
        <v>#N/A</v>
      </c>
      <c r="AX181" s="120">
        <f t="shared" si="92"/>
      </c>
      <c r="AY181" s="120" t="e">
        <f t="shared" si="93"/>
        <v>#N/A</v>
      </c>
      <c r="AZ181" s="120" t="e">
        <f>VLOOKUP(AY181,'排出係数表'!$A$4:$C$202,2,FALSE)</f>
        <v>#N/A</v>
      </c>
      <c r="BA181" s="120" t="e">
        <f t="shared" si="94"/>
        <v>#N/A</v>
      </c>
      <c r="BB181" s="120" t="e">
        <f>VLOOKUP(AY181,'排出係数表'!$A$4:$C$202,3,FALSE)</f>
        <v>#N/A</v>
      </c>
      <c r="BC181" s="120" t="e">
        <f t="shared" si="95"/>
        <v>#N/A</v>
      </c>
      <c r="BD181" s="120">
        <f t="shared" si="106"/>
        <v>1</v>
      </c>
      <c r="BE181" s="122">
        <f t="shared" si="96"/>
      </c>
      <c r="BF181" s="123" t="e">
        <f t="shared" si="119"/>
        <v>#VALUE!</v>
      </c>
      <c r="BG181" s="122">
        <f t="shared" si="107"/>
      </c>
      <c r="BH181" s="120" t="e">
        <f t="shared" si="108"/>
        <v>#VALUE!</v>
      </c>
      <c r="BI181" s="120" t="e">
        <f t="shared" si="109"/>
        <v>#VALUE!</v>
      </c>
      <c r="BJ181" s="122" t="e">
        <f>VLOOKUP(AY181,'排出係数表'!$A$4:$D$202,4)</f>
        <v>#N/A</v>
      </c>
      <c r="BK181" s="257">
        <f t="shared" si="116"/>
      </c>
    </row>
    <row r="182" spans="1:63" s="124" customFormat="1" ht="13.5" customHeight="1">
      <c r="A182" s="120"/>
      <c r="B182" s="120"/>
      <c r="C182" s="155"/>
      <c r="D182" s="155"/>
      <c r="E182" s="155"/>
      <c r="F182" s="155"/>
      <c r="G182" s="156"/>
      <c r="H182" s="157"/>
      <c r="I182" s="155"/>
      <c r="J182" s="155"/>
      <c r="K182" s="158"/>
      <c r="L182" s="159"/>
      <c r="M182" s="244"/>
      <c r="N182" s="155"/>
      <c r="O182" s="345">
        <f t="shared" si="97"/>
      </c>
      <c r="P182" s="345">
        <f t="shared" si="83"/>
      </c>
      <c r="Q182" s="508"/>
      <c r="R182" s="346"/>
      <c r="S182" s="347"/>
      <c r="T182" s="348"/>
      <c r="U182" s="347"/>
      <c r="V182" s="348"/>
      <c r="W182" s="347"/>
      <c r="X182" s="348"/>
      <c r="Y182" s="347"/>
      <c r="Z182" s="348"/>
      <c r="AA182" s="340" t="e">
        <f t="shared" si="84"/>
        <v>#N/A</v>
      </c>
      <c r="AB182" s="339">
        <f t="shared" si="98"/>
      </c>
      <c r="AC182" s="339">
        <f t="shared" si="99"/>
      </c>
      <c r="AD182" s="255">
        <f t="shared" si="100"/>
      </c>
      <c r="AE182" s="256">
        <f t="shared" si="101"/>
      </c>
      <c r="AF182" s="256">
        <f t="shared" si="102"/>
      </c>
      <c r="AG182" s="255">
        <f t="shared" si="103"/>
      </c>
      <c r="AH182" s="255">
        <f t="shared" si="85"/>
      </c>
      <c r="AI182" s="255">
        <f t="shared" si="104"/>
      </c>
      <c r="AJ182" s="255">
        <f t="shared" si="105"/>
      </c>
      <c r="AK182" s="255">
        <f t="shared" si="86"/>
      </c>
      <c r="AL182" s="255">
        <f t="shared" si="87"/>
      </c>
      <c r="AM182" s="120">
        <f ca="1" t="shared" si="110"/>
        <v>0</v>
      </c>
      <c r="AN182" s="120" t="e">
        <f t="shared" si="88"/>
        <v>#N/A</v>
      </c>
      <c r="AO182" s="120">
        <f>ROWS($AO$4:AO182)-1</f>
        <v>178</v>
      </c>
      <c r="AP182" s="255" t="e">
        <f t="shared" si="111"/>
        <v>#N/A</v>
      </c>
      <c r="AQ182" s="120" t="e">
        <f t="shared" si="89"/>
        <v>#N/A</v>
      </c>
      <c r="AR182" s="120" t="e">
        <f t="shared" si="117"/>
        <v>#N/A</v>
      </c>
      <c r="AS182" s="121">
        <f t="shared" si="112"/>
        <v>1</v>
      </c>
      <c r="AT182" s="120" t="str">
        <f t="shared" si="113"/>
        <v> </v>
      </c>
      <c r="AU182" s="120" t="str">
        <f t="shared" si="114"/>
        <v> </v>
      </c>
      <c r="AV182" s="120" t="e">
        <f t="shared" si="90"/>
        <v>#N/A</v>
      </c>
      <c r="AW182" s="120" t="e">
        <f t="shared" si="91"/>
        <v>#N/A</v>
      </c>
      <c r="AX182" s="120">
        <f t="shared" si="92"/>
      </c>
      <c r="AY182" s="120" t="e">
        <f t="shared" si="93"/>
        <v>#N/A</v>
      </c>
      <c r="AZ182" s="120" t="e">
        <f>VLOOKUP(AY182,'排出係数表'!$A$4:$C$202,2,FALSE)</f>
        <v>#N/A</v>
      </c>
      <c r="BA182" s="120" t="e">
        <f t="shared" si="94"/>
        <v>#N/A</v>
      </c>
      <c r="BB182" s="120" t="e">
        <f>VLOOKUP(AY182,'排出係数表'!$A$4:$C$202,3,FALSE)</f>
        <v>#N/A</v>
      </c>
      <c r="BC182" s="120" t="e">
        <f t="shared" si="95"/>
        <v>#N/A</v>
      </c>
      <c r="BD182" s="120">
        <f t="shared" si="106"/>
        <v>1</v>
      </c>
      <c r="BE182" s="122">
        <f t="shared" si="96"/>
      </c>
      <c r="BF182" s="123" t="e">
        <f t="shared" si="119"/>
        <v>#VALUE!</v>
      </c>
      <c r="BG182" s="122">
        <f t="shared" si="107"/>
      </c>
      <c r="BH182" s="120" t="e">
        <f t="shared" si="108"/>
        <v>#VALUE!</v>
      </c>
      <c r="BI182" s="120" t="e">
        <f t="shared" si="109"/>
        <v>#VALUE!</v>
      </c>
      <c r="BJ182" s="122" t="e">
        <f>VLOOKUP(AY182,'排出係数表'!$A$4:$D$202,4)</f>
        <v>#N/A</v>
      </c>
      <c r="BK182" s="257">
        <f t="shared" si="116"/>
      </c>
    </row>
    <row r="183" spans="1:63" s="124" customFormat="1" ht="13.5" customHeight="1">
      <c r="A183" s="120"/>
      <c r="B183" s="120"/>
      <c r="C183" s="155"/>
      <c r="D183" s="155"/>
      <c r="E183" s="155"/>
      <c r="F183" s="155"/>
      <c r="G183" s="156"/>
      <c r="H183" s="157"/>
      <c r="I183" s="155"/>
      <c r="J183" s="155"/>
      <c r="K183" s="158"/>
      <c r="L183" s="159"/>
      <c r="M183" s="244"/>
      <c r="N183" s="155"/>
      <c r="O183" s="345">
        <f t="shared" si="97"/>
      </c>
      <c r="P183" s="345">
        <f t="shared" si="83"/>
      </c>
      <c r="Q183" s="508"/>
      <c r="R183" s="346"/>
      <c r="S183" s="347"/>
      <c r="T183" s="348"/>
      <c r="U183" s="347"/>
      <c r="V183" s="348"/>
      <c r="W183" s="347"/>
      <c r="X183" s="348"/>
      <c r="Y183" s="347"/>
      <c r="Z183" s="348"/>
      <c r="AA183" s="340" t="e">
        <f t="shared" si="84"/>
        <v>#N/A</v>
      </c>
      <c r="AB183" s="339">
        <f t="shared" si="98"/>
      </c>
      <c r="AC183" s="339">
        <f t="shared" si="99"/>
      </c>
      <c r="AD183" s="255">
        <f t="shared" si="100"/>
      </c>
      <c r="AE183" s="256">
        <f t="shared" si="101"/>
      </c>
      <c r="AF183" s="256">
        <f t="shared" si="102"/>
      </c>
      <c r="AG183" s="255">
        <f t="shared" si="103"/>
      </c>
      <c r="AH183" s="255">
        <f t="shared" si="85"/>
      </c>
      <c r="AI183" s="255">
        <f t="shared" si="104"/>
      </c>
      <c r="AJ183" s="255">
        <f t="shared" si="105"/>
      </c>
      <c r="AK183" s="255">
        <f t="shared" si="86"/>
      </c>
      <c r="AL183" s="255">
        <f t="shared" si="87"/>
      </c>
      <c r="AM183" s="120">
        <f aca="true" ca="1" t="shared" si="120" ref="AM183:AM213">COUNTIF(OFFSET($AK$5,,,AO183,1),1)</f>
        <v>0</v>
      </c>
      <c r="AN183" s="120" t="e">
        <f t="shared" si="88"/>
        <v>#N/A</v>
      </c>
      <c r="AO183" s="120">
        <f>ROWS($AO$4:AO183)-1</f>
        <v>179</v>
      </c>
      <c r="AP183" s="255" t="e">
        <f aca="true" t="shared" si="121" ref="AP183:AP213">AN183-AO183</f>
        <v>#N/A</v>
      </c>
      <c r="AQ183" s="120" t="e">
        <f t="shared" si="89"/>
        <v>#N/A</v>
      </c>
      <c r="AR183" s="120" t="e">
        <f t="shared" si="117"/>
        <v>#N/A</v>
      </c>
      <c r="AS183" s="121">
        <f aca="true" t="shared" si="122" ref="AS183:AS212">IF(I183&gt;3500,I183/1000,1)</f>
        <v>1</v>
      </c>
      <c r="AT183" s="120" t="str">
        <f aca="true" t="shared" si="123" ref="AT183:AT212">IF(ISBLANK(F183)=TRUE," ",IF(LEFT(F183,1)="4",0,IF(I183&lt;=1700,1,IF(I183&lt;=2500,2,IF(I183&lt;=3500,3,4)))))</f>
        <v> </v>
      </c>
      <c r="AU183" s="120" t="str">
        <f aca="true" t="shared" si="124" ref="AU183:AU212">IF(ISBLANK(J183)=TRUE," ",IF(LEFT(F183,1)="1",IF(I183&lt;=3500,1,IF(I183&lt;=5000,2,3)),IF(LEFT(F183,1)="6",IF(I183&lt;=3500,1,IF(I183&lt;=5000,2,3)),"")))</f>
        <v> </v>
      </c>
      <c r="AV183" s="120" t="e">
        <f t="shared" si="90"/>
        <v>#N/A</v>
      </c>
      <c r="AW183" s="120" t="e">
        <f t="shared" si="91"/>
        <v>#N/A</v>
      </c>
      <c r="AX183" s="120">
        <f t="shared" si="92"/>
      </c>
      <c r="AY183" s="120" t="e">
        <f t="shared" si="93"/>
        <v>#N/A</v>
      </c>
      <c r="AZ183" s="120" t="e">
        <f>VLOOKUP(AY183,'排出係数表'!$A$4:$C$202,2,FALSE)</f>
        <v>#N/A</v>
      </c>
      <c r="BA183" s="120" t="e">
        <f t="shared" si="94"/>
        <v>#N/A</v>
      </c>
      <c r="BB183" s="120" t="e">
        <f>VLOOKUP(AY183,'排出係数表'!$A$4:$C$202,3,FALSE)</f>
        <v>#N/A</v>
      </c>
      <c r="BC183" s="120" t="e">
        <f t="shared" si="95"/>
        <v>#N/A</v>
      </c>
      <c r="BD183" s="120">
        <f t="shared" si="106"/>
        <v>1</v>
      </c>
      <c r="BE183" s="122">
        <f t="shared" si="96"/>
      </c>
      <c r="BF183" s="123" t="e">
        <f t="shared" si="119"/>
        <v>#VALUE!</v>
      </c>
      <c r="BG183" s="122">
        <f t="shared" si="107"/>
      </c>
      <c r="BH183" s="120" t="e">
        <f t="shared" si="108"/>
        <v>#VALUE!</v>
      </c>
      <c r="BI183" s="120" t="e">
        <f t="shared" si="109"/>
        <v>#VALUE!</v>
      </c>
      <c r="BJ183" s="122" t="e">
        <f>VLOOKUP(AY183,'排出係数表'!$A$4:$D$202,4)</f>
        <v>#N/A</v>
      </c>
      <c r="BK183" s="257">
        <f t="shared" si="116"/>
      </c>
    </row>
    <row r="184" spans="1:63" s="124" customFormat="1" ht="13.5" customHeight="1">
      <c r="A184" s="120"/>
      <c r="B184" s="120"/>
      <c r="C184" s="155"/>
      <c r="D184" s="155"/>
      <c r="E184" s="155"/>
      <c r="F184" s="155"/>
      <c r="G184" s="156"/>
      <c r="H184" s="157"/>
      <c r="I184" s="155"/>
      <c r="J184" s="155"/>
      <c r="K184" s="158"/>
      <c r="L184" s="159"/>
      <c r="M184" s="244"/>
      <c r="N184" s="155"/>
      <c r="O184" s="345">
        <f t="shared" si="97"/>
      </c>
      <c r="P184" s="345">
        <f t="shared" si="83"/>
      </c>
      <c r="Q184" s="508"/>
      <c r="R184" s="346"/>
      <c r="S184" s="347"/>
      <c r="T184" s="348"/>
      <c r="U184" s="347"/>
      <c r="V184" s="348"/>
      <c r="W184" s="347"/>
      <c r="X184" s="348"/>
      <c r="Y184" s="347"/>
      <c r="Z184" s="348"/>
      <c r="AA184" s="340" t="e">
        <f t="shared" si="84"/>
        <v>#N/A</v>
      </c>
      <c r="AB184" s="339">
        <f t="shared" si="98"/>
      </c>
      <c r="AC184" s="339">
        <f t="shared" si="99"/>
      </c>
      <c r="AD184" s="255">
        <f t="shared" si="100"/>
      </c>
      <c r="AE184" s="256">
        <f t="shared" si="101"/>
      </c>
      <c r="AF184" s="256">
        <f t="shared" si="102"/>
      </c>
      <c r="AG184" s="255">
        <f t="shared" si="103"/>
      </c>
      <c r="AH184" s="255">
        <f t="shared" si="85"/>
      </c>
      <c r="AI184" s="255">
        <f t="shared" si="104"/>
      </c>
      <c r="AJ184" s="255">
        <f t="shared" si="105"/>
      </c>
      <c r="AK184" s="255">
        <f t="shared" si="86"/>
      </c>
      <c r="AL184" s="255">
        <f t="shared" si="87"/>
      </c>
      <c r="AM184" s="120">
        <f ca="1" t="shared" si="120"/>
        <v>0</v>
      </c>
      <c r="AN184" s="120" t="e">
        <f t="shared" si="88"/>
        <v>#N/A</v>
      </c>
      <c r="AO184" s="120">
        <f>ROWS($AO$4:AO184)-1</f>
        <v>180</v>
      </c>
      <c r="AP184" s="255" t="e">
        <f t="shared" si="121"/>
        <v>#N/A</v>
      </c>
      <c r="AQ184" s="120" t="e">
        <f t="shared" si="89"/>
        <v>#N/A</v>
      </c>
      <c r="AR184" s="120" t="e">
        <f t="shared" si="117"/>
        <v>#N/A</v>
      </c>
      <c r="AS184" s="121">
        <f t="shared" si="122"/>
        <v>1</v>
      </c>
      <c r="AT184" s="120" t="str">
        <f t="shared" si="123"/>
        <v> </v>
      </c>
      <c r="AU184" s="120" t="str">
        <f t="shared" si="124"/>
        <v> </v>
      </c>
      <c r="AV184" s="120" t="e">
        <f t="shared" si="90"/>
        <v>#N/A</v>
      </c>
      <c r="AW184" s="120" t="e">
        <f t="shared" si="91"/>
        <v>#N/A</v>
      </c>
      <c r="AX184" s="120">
        <f t="shared" si="92"/>
      </c>
      <c r="AY184" s="120" t="e">
        <f t="shared" si="93"/>
        <v>#N/A</v>
      </c>
      <c r="AZ184" s="120" t="e">
        <f>VLOOKUP(AY184,'排出係数表'!$A$4:$C$202,2,FALSE)</f>
        <v>#N/A</v>
      </c>
      <c r="BA184" s="120" t="e">
        <f t="shared" si="94"/>
        <v>#N/A</v>
      </c>
      <c r="BB184" s="120" t="e">
        <f>VLOOKUP(AY184,'排出係数表'!$A$4:$C$202,3,FALSE)</f>
        <v>#N/A</v>
      </c>
      <c r="BC184" s="120" t="e">
        <f t="shared" si="95"/>
        <v>#N/A</v>
      </c>
      <c r="BD184" s="120">
        <f t="shared" si="106"/>
        <v>1</v>
      </c>
      <c r="BE184" s="122">
        <f t="shared" si="96"/>
      </c>
      <c r="BF184" s="123" t="e">
        <f t="shared" si="119"/>
        <v>#VALUE!</v>
      </c>
      <c r="BG184" s="122">
        <f t="shared" si="107"/>
      </c>
      <c r="BH184" s="120" t="e">
        <f t="shared" si="108"/>
        <v>#VALUE!</v>
      </c>
      <c r="BI184" s="120" t="e">
        <f t="shared" si="109"/>
        <v>#VALUE!</v>
      </c>
      <c r="BJ184" s="122" t="e">
        <f>VLOOKUP(AY184,'排出係数表'!$A$4:$D$202,4)</f>
        <v>#N/A</v>
      </c>
      <c r="BK184" s="257">
        <f t="shared" si="116"/>
      </c>
    </row>
    <row r="185" spans="1:63" s="124" customFormat="1" ht="13.5" customHeight="1">
      <c r="A185" s="120"/>
      <c r="B185" s="120"/>
      <c r="C185" s="155"/>
      <c r="D185" s="155"/>
      <c r="E185" s="155"/>
      <c r="F185" s="155"/>
      <c r="G185" s="156"/>
      <c r="H185" s="157"/>
      <c r="I185" s="155"/>
      <c r="J185" s="155"/>
      <c r="K185" s="158"/>
      <c r="L185" s="159"/>
      <c r="M185" s="244"/>
      <c r="N185" s="155"/>
      <c r="O185" s="345">
        <f t="shared" si="97"/>
      </c>
      <c r="P185" s="345">
        <f t="shared" si="83"/>
      </c>
      <c r="Q185" s="508"/>
      <c r="R185" s="346"/>
      <c r="S185" s="347"/>
      <c r="T185" s="348"/>
      <c r="U185" s="347"/>
      <c r="V185" s="348"/>
      <c r="W185" s="347"/>
      <c r="X185" s="348"/>
      <c r="Y185" s="347"/>
      <c r="Z185" s="348"/>
      <c r="AA185" s="340" t="e">
        <f t="shared" si="84"/>
        <v>#N/A</v>
      </c>
      <c r="AB185" s="339">
        <f t="shared" si="98"/>
      </c>
      <c r="AC185" s="339">
        <f t="shared" si="99"/>
      </c>
      <c r="AD185" s="255">
        <f t="shared" si="100"/>
      </c>
      <c r="AE185" s="256">
        <f t="shared" si="101"/>
      </c>
      <c r="AF185" s="256">
        <f t="shared" si="102"/>
      </c>
      <c r="AG185" s="255">
        <f t="shared" si="103"/>
      </c>
      <c r="AH185" s="255">
        <f t="shared" si="85"/>
      </c>
      <c r="AI185" s="255">
        <f t="shared" si="104"/>
      </c>
      <c r="AJ185" s="255">
        <f t="shared" si="105"/>
      </c>
      <c r="AK185" s="255">
        <f t="shared" si="86"/>
      </c>
      <c r="AL185" s="255">
        <f t="shared" si="87"/>
      </c>
      <c r="AM185" s="120">
        <f ca="1" t="shared" si="120"/>
        <v>0</v>
      </c>
      <c r="AN185" s="120" t="e">
        <f t="shared" si="88"/>
        <v>#N/A</v>
      </c>
      <c r="AO185" s="120">
        <f>ROWS($AO$4:AO185)-1</f>
        <v>181</v>
      </c>
      <c r="AP185" s="255" t="e">
        <f t="shared" si="121"/>
        <v>#N/A</v>
      </c>
      <c r="AQ185" s="120" t="e">
        <f t="shared" si="89"/>
        <v>#N/A</v>
      </c>
      <c r="AR185" s="120" t="e">
        <f t="shared" si="117"/>
        <v>#N/A</v>
      </c>
      <c r="AS185" s="121">
        <f t="shared" si="122"/>
        <v>1</v>
      </c>
      <c r="AT185" s="120" t="str">
        <f t="shared" si="123"/>
        <v> </v>
      </c>
      <c r="AU185" s="120" t="str">
        <f t="shared" si="124"/>
        <v> </v>
      </c>
      <c r="AV185" s="120" t="e">
        <f t="shared" si="90"/>
        <v>#N/A</v>
      </c>
      <c r="AW185" s="120" t="e">
        <f t="shared" si="91"/>
        <v>#N/A</v>
      </c>
      <c r="AX185" s="120">
        <f t="shared" si="92"/>
      </c>
      <c r="AY185" s="120" t="e">
        <f t="shared" si="93"/>
        <v>#N/A</v>
      </c>
      <c r="AZ185" s="120" t="e">
        <f>VLOOKUP(AY185,'排出係数表'!$A$4:$C$202,2,FALSE)</f>
        <v>#N/A</v>
      </c>
      <c r="BA185" s="120" t="e">
        <f t="shared" si="94"/>
        <v>#N/A</v>
      </c>
      <c r="BB185" s="120" t="e">
        <f>VLOOKUP(AY185,'排出係数表'!$A$4:$C$202,3,FALSE)</f>
        <v>#N/A</v>
      </c>
      <c r="BC185" s="120" t="e">
        <f t="shared" si="95"/>
        <v>#N/A</v>
      </c>
      <c r="BD185" s="120">
        <f t="shared" si="106"/>
        <v>1</v>
      </c>
      <c r="BE185" s="122">
        <f t="shared" si="96"/>
      </c>
      <c r="BF185" s="123" t="e">
        <f t="shared" si="119"/>
        <v>#VALUE!</v>
      </c>
      <c r="BG185" s="122">
        <f t="shared" si="107"/>
      </c>
      <c r="BH185" s="120" t="e">
        <f t="shared" si="108"/>
        <v>#VALUE!</v>
      </c>
      <c r="BI185" s="120" t="e">
        <f t="shared" si="109"/>
        <v>#VALUE!</v>
      </c>
      <c r="BJ185" s="122" t="e">
        <f>VLOOKUP(AY185,'排出係数表'!$A$4:$D$202,4)</f>
        <v>#N/A</v>
      </c>
      <c r="BK185" s="257">
        <f t="shared" si="116"/>
      </c>
    </row>
    <row r="186" spans="1:63" s="124" customFormat="1" ht="13.5" customHeight="1">
      <c r="A186" s="120"/>
      <c r="B186" s="120"/>
      <c r="C186" s="155"/>
      <c r="D186" s="155"/>
      <c r="E186" s="155"/>
      <c r="F186" s="155"/>
      <c r="G186" s="156"/>
      <c r="H186" s="157"/>
      <c r="I186" s="155"/>
      <c r="J186" s="155"/>
      <c r="K186" s="158"/>
      <c r="L186" s="159"/>
      <c r="M186" s="244"/>
      <c r="N186" s="155"/>
      <c r="O186" s="345">
        <f t="shared" si="97"/>
      </c>
      <c r="P186" s="345">
        <f t="shared" si="83"/>
      </c>
      <c r="Q186" s="508"/>
      <c r="R186" s="346"/>
      <c r="S186" s="347"/>
      <c r="T186" s="348"/>
      <c r="U186" s="347"/>
      <c r="V186" s="348"/>
      <c r="W186" s="347"/>
      <c r="X186" s="348"/>
      <c r="Y186" s="347"/>
      <c r="Z186" s="348"/>
      <c r="AA186" s="340" t="e">
        <f t="shared" si="84"/>
        <v>#N/A</v>
      </c>
      <c r="AB186" s="339">
        <f t="shared" si="98"/>
      </c>
      <c r="AC186" s="339">
        <f t="shared" si="99"/>
      </c>
      <c r="AD186" s="255">
        <f t="shared" si="100"/>
      </c>
      <c r="AE186" s="256">
        <f t="shared" si="101"/>
      </c>
      <c r="AF186" s="256">
        <f t="shared" si="102"/>
      </c>
      <c r="AG186" s="255">
        <f t="shared" si="103"/>
      </c>
      <c r="AH186" s="255">
        <f t="shared" si="85"/>
      </c>
      <c r="AI186" s="255">
        <f t="shared" si="104"/>
      </c>
      <c r="AJ186" s="255">
        <f t="shared" si="105"/>
      </c>
      <c r="AK186" s="255">
        <f t="shared" si="86"/>
      </c>
      <c r="AL186" s="255">
        <f t="shared" si="87"/>
      </c>
      <c r="AM186" s="120">
        <f ca="1" t="shared" si="120"/>
        <v>0</v>
      </c>
      <c r="AN186" s="120" t="e">
        <f t="shared" si="88"/>
        <v>#N/A</v>
      </c>
      <c r="AO186" s="120">
        <f>ROWS($AO$4:AO186)-1</f>
        <v>182</v>
      </c>
      <c r="AP186" s="255" t="e">
        <f t="shared" si="121"/>
        <v>#N/A</v>
      </c>
      <c r="AQ186" s="120" t="e">
        <f t="shared" si="89"/>
        <v>#N/A</v>
      </c>
      <c r="AR186" s="120" t="e">
        <f t="shared" si="117"/>
        <v>#N/A</v>
      </c>
      <c r="AS186" s="121">
        <f t="shared" si="122"/>
        <v>1</v>
      </c>
      <c r="AT186" s="120" t="str">
        <f t="shared" si="123"/>
        <v> </v>
      </c>
      <c r="AU186" s="120" t="str">
        <f t="shared" si="124"/>
        <v> </v>
      </c>
      <c r="AV186" s="120" t="e">
        <f t="shared" si="90"/>
        <v>#N/A</v>
      </c>
      <c r="AW186" s="120" t="e">
        <f t="shared" si="91"/>
        <v>#N/A</v>
      </c>
      <c r="AX186" s="120">
        <f t="shared" si="92"/>
      </c>
      <c r="AY186" s="120" t="e">
        <f t="shared" si="93"/>
        <v>#N/A</v>
      </c>
      <c r="AZ186" s="120" t="e">
        <f>VLOOKUP(AY186,'排出係数表'!$A$4:$C$202,2,FALSE)</f>
        <v>#N/A</v>
      </c>
      <c r="BA186" s="120" t="e">
        <f t="shared" si="94"/>
        <v>#N/A</v>
      </c>
      <c r="BB186" s="120" t="e">
        <f>VLOOKUP(AY186,'排出係数表'!$A$4:$C$202,3,FALSE)</f>
        <v>#N/A</v>
      </c>
      <c r="BC186" s="120" t="e">
        <f t="shared" si="95"/>
        <v>#N/A</v>
      </c>
      <c r="BD186" s="120">
        <f t="shared" si="106"/>
        <v>1</v>
      </c>
      <c r="BE186" s="122">
        <f t="shared" si="96"/>
      </c>
      <c r="BF186" s="123" t="e">
        <f t="shared" si="119"/>
        <v>#VALUE!</v>
      </c>
      <c r="BG186" s="122">
        <f t="shared" si="107"/>
      </c>
      <c r="BH186" s="120" t="e">
        <f t="shared" si="108"/>
        <v>#VALUE!</v>
      </c>
      <c r="BI186" s="120" t="e">
        <f t="shared" si="109"/>
        <v>#VALUE!</v>
      </c>
      <c r="BJ186" s="122" t="e">
        <f>VLOOKUP(AY186,'排出係数表'!$A$4:$D$202,4)</f>
        <v>#N/A</v>
      </c>
      <c r="BK186" s="257">
        <f t="shared" si="116"/>
      </c>
    </row>
    <row r="187" spans="1:63" s="124" customFormat="1" ht="13.5" customHeight="1">
      <c r="A187" s="120"/>
      <c r="B187" s="120"/>
      <c r="C187" s="155"/>
      <c r="D187" s="155"/>
      <c r="E187" s="155"/>
      <c r="F187" s="155"/>
      <c r="G187" s="156"/>
      <c r="H187" s="157"/>
      <c r="I187" s="155"/>
      <c r="J187" s="155"/>
      <c r="K187" s="158"/>
      <c r="L187" s="159"/>
      <c r="M187" s="244"/>
      <c r="N187" s="155"/>
      <c r="O187" s="345">
        <f t="shared" si="97"/>
      </c>
      <c r="P187" s="345">
        <f t="shared" si="83"/>
      </c>
      <c r="Q187" s="508"/>
      <c r="R187" s="346"/>
      <c r="S187" s="347"/>
      <c r="T187" s="348"/>
      <c r="U187" s="347"/>
      <c r="V187" s="348"/>
      <c r="W187" s="347"/>
      <c r="X187" s="348"/>
      <c r="Y187" s="347"/>
      <c r="Z187" s="348"/>
      <c r="AA187" s="340" t="e">
        <f t="shared" si="84"/>
        <v>#N/A</v>
      </c>
      <c r="AB187" s="339">
        <f t="shared" si="98"/>
      </c>
      <c r="AC187" s="339">
        <f t="shared" si="99"/>
      </c>
      <c r="AD187" s="255">
        <f t="shared" si="100"/>
      </c>
      <c r="AE187" s="256">
        <f t="shared" si="101"/>
      </c>
      <c r="AF187" s="256">
        <f t="shared" si="102"/>
      </c>
      <c r="AG187" s="255">
        <f t="shared" si="103"/>
      </c>
      <c r="AH187" s="255">
        <f t="shared" si="85"/>
      </c>
      <c r="AI187" s="255">
        <f t="shared" si="104"/>
      </c>
      <c r="AJ187" s="255">
        <f t="shared" si="105"/>
      </c>
      <c r="AK187" s="255">
        <f t="shared" si="86"/>
      </c>
      <c r="AL187" s="255">
        <f t="shared" si="87"/>
      </c>
      <c r="AM187" s="120">
        <f ca="1" t="shared" si="120"/>
        <v>0</v>
      </c>
      <c r="AN187" s="120" t="e">
        <f t="shared" si="88"/>
        <v>#N/A</v>
      </c>
      <c r="AO187" s="120">
        <f>ROWS($AO$4:AO187)-1</f>
        <v>183</v>
      </c>
      <c r="AP187" s="255" t="e">
        <f t="shared" si="121"/>
        <v>#N/A</v>
      </c>
      <c r="AQ187" s="120" t="e">
        <f t="shared" si="89"/>
        <v>#N/A</v>
      </c>
      <c r="AR187" s="120" t="e">
        <f t="shared" si="117"/>
        <v>#N/A</v>
      </c>
      <c r="AS187" s="121">
        <f t="shared" si="122"/>
        <v>1</v>
      </c>
      <c r="AT187" s="120" t="str">
        <f t="shared" si="123"/>
        <v> </v>
      </c>
      <c r="AU187" s="120" t="str">
        <f t="shared" si="124"/>
        <v> </v>
      </c>
      <c r="AV187" s="120" t="e">
        <f t="shared" si="90"/>
        <v>#N/A</v>
      </c>
      <c r="AW187" s="120" t="e">
        <f t="shared" si="91"/>
        <v>#N/A</v>
      </c>
      <c r="AX187" s="120">
        <f t="shared" si="92"/>
      </c>
      <c r="AY187" s="120" t="e">
        <f t="shared" si="93"/>
        <v>#N/A</v>
      </c>
      <c r="AZ187" s="120" t="e">
        <f>VLOOKUP(AY187,'排出係数表'!$A$4:$C$202,2,FALSE)</f>
        <v>#N/A</v>
      </c>
      <c r="BA187" s="120" t="e">
        <f t="shared" si="94"/>
        <v>#N/A</v>
      </c>
      <c r="BB187" s="120" t="e">
        <f>VLOOKUP(AY187,'排出係数表'!$A$4:$C$202,3,FALSE)</f>
        <v>#N/A</v>
      </c>
      <c r="BC187" s="120" t="e">
        <f t="shared" si="95"/>
        <v>#N/A</v>
      </c>
      <c r="BD187" s="120">
        <f t="shared" si="106"/>
        <v>1</v>
      </c>
      <c r="BE187" s="122">
        <f t="shared" si="96"/>
      </c>
      <c r="BF187" s="123" t="e">
        <f t="shared" si="119"/>
        <v>#VALUE!</v>
      </c>
      <c r="BG187" s="122">
        <f t="shared" si="107"/>
      </c>
      <c r="BH187" s="120" t="e">
        <f t="shared" si="108"/>
        <v>#VALUE!</v>
      </c>
      <c r="BI187" s="120" t="e">
        <f t="shared" si="109"/>
        <v>#VALUE!</v>
      </c>
      <c r="BJ187" s="122" t="e">
        <f>VLOOKUP(AY187,'排出係数表'!$A$4:$D$202,4)</f>
        <v>#N/A</v>
      </c>
      <c r="BK187" s="257">
        <f t="shared" si="116"/>
      </c>
    </row>
    <row r="188" spans="1:63" s="124" customFormat="1" ht="13.5" customHeight="1">
      <c r="A188" s="120"/>
      <c r="B188" s="120"/>
      <c r="C188" s="155"/>
      <c r="D188" s="155"/>
      <c r="E188" s="155"/>
      <c r="F188" s="155"/>
      <c r="G188" s="156"/>
      <c r="H188" s="157"/>
      <c r="I188" s="155"/>
      <c r="J188" s="155"/>
      <c r="K188" s="158"/>
      <c r="L188" s="159"/>
      <c r="M188" s="244"/>
      <c r="N188" s="155"/>
      <c r="O188" s="345">
        <f t="shared" si="97"/>
      </c>
      <c r="P188" s="345">
        <f t="shared" si="83"/>
      </c>
      <c r="Q188" s="508"/>
      <c r="R188" s="346"/>
      <c r="S188" s="347"/>
      <c r="T188" s="348"/>
      <c r="U188" s="347"/>
      <c r="V188" s="348"/>
      <c r="W188" s="347"/>
      <c r="X188" s="348"/>
      <c r="Y188" s="347"/>
      <c r="Z188" s="348"/>
      <c r="AA188" s="340" t="e">
        <f t="shared" si="84"/>
        <v>#N/A</v>
      </c>
      <c r="AB188" s="339">
        <f t="shared" si="98"/>
      </c>
      <c r="AC188" s="339">
        <f t="shared" si="99"/>
      </c>
      <c r="AD188" s="255">
        <f t="shared" si="100"/>
      </c>
      <c r="AE188" s="256">
        <f t="shared" si="101"/>
      </c>
      <c r="AF188" s="256">
        <f t="shared" si="102"/>
      </c>
      <c r="AG188" s="255">
        <f t="shared" si="103"/>
      </c>
      <c r="AH188" s="255">
        <f t="shared" si="85"/>
      </c>
      <c r="AI188" s="255">
        <f t="shared" si="104"/>
      </c>
      <c r="AJ188" s="255">
        <f t="shared" si="105"/>
      </c>
      <c r="AK188" s="255">
        <f t="shared" si="86"/>
      </c>
      <c r="AL188" s="255">
        <f t="shared" si="87"/>
      </c>
      <c r="AM188" s="120">
        <f ca="1" t="shared" si="120"/>
        <v>0</v>
      </c>
      <c r="AN188" s="120" t="e">
        <f t="shared" si="88"/>
        <v>#N/A</v>
      </c>
      <c r="AO188" s="120">
        <f>ROWS($AO$4:AO188)-1</f>
        <v>184</v>
      </c>
      <c r="AP188" s="255" t="e">
        <f t="shared" si="121"/>
        <v>#N/A</v>
      </c>
      <c r="AQ188" s="120" t="e">
        <f t="shared" si="89"/>
        <v>#N/A</v>
      </c>
      <c r="AR188" s="120" t="e">
        <f t="shared" si="117"/>
        <v>#N/A</v>
      </c>
      <c r="AS188" s="121">
        <f t="shared" si="122"/>
        <v>1</v>
      </c>
      <c r="AT188" s="120" t="str">
        <f t="shared" si="123"/>
        <v> </v>
      </c>
      <c r="AU188" s="120" t="str">
        <f t="shared" si="124"/>
        <v> </v>
      </c>
      <c r="AV188" s="120" t="e">
        <f t="shared" si="90"/>
        <v>#N/A</v>
      </c>
      <c r="AW188" s="120" t="e">
        <f t="shared" si="91"/>
        <v>#N/A</v>
      </c>
      <c r="AX188" s="120">
        <f t="shared" si="92"/>
      </c>
      <c r="AY188" s="120" t="e">
        <f t="shared" si="93"/>
        <v>#N/A</v>
      </c>
      <c r="AZ188" s="120" t="e">
        <f>VLOOKUP(AY188,'排出係数表'!$A$4:$C$202,2,FALSE)</f>
        <v>#N/A</v>
      </c>
      <c r="BA188" s="120" t="e">
        <f t="shared" si="94"/>
        <v>#N/A</v>
      </c>
      <c r="BB188" s="120" t="e">
        <f>VLOOKUP(AY188,'排出係数表'!$A$4:$C$202,3,FALSE)</f>
        <v>#N/A</v>
      </c>
      <c r="BC188" s="120" t="e">
        <f t="shared" si="95"/>
        <v>#N/A</v>
      </c>
      <c r="BD188" s="120">
        <f t="shared" si="106"/>
        <v>1</v>
      </c>
      <c r="BE188" s="122">
        <f t="shared" si="96"/>
      </c>
      <c r="BF188" s="123" t="e">
        <f t="shared" si="119"/>
        <v>#VALUE!</v>
      </c>
      <c r="BG188" s="122">
        <f t="shared" si="107"/>
      </c>
      <c r="BH188" s="120" t="e">
        <f t="shared" si="108"/>
        <v>#VALUE!</v>
      </c>
      <c r="BI188" s="120" t="e">
        <f t="shared" si="109"/>
        <v>#VALUE!</v>
      </c>
      <c r="BJ188" s="122" t="e">
        <f>VLOOKUP(AY188,'排出係数表'!$A$4:$D$202,4)</f>
        <v>#N/A</v>
      </c>
      <c r="BK188" s="257">
        <f t="shared" si="116"/>
      </c>
    </row>
    <row r="189" spans="1:63" s="124" customFormat="1" ht="13.5" customHeight="1">
      <c r="A189" s="120"/>
      <c r="B189" s="120"/>
      <c r="C189" s="155"/>
      <c r="D189" s="155"/>
      <c r="E189" s="155"/>
      <c r="F189" s="155"/>
      <c r="G189" s="156"/>
      <c r="H189" s="157"/>
      <c r="I189" s="155"/>
      <c r="J189" s="155"/>
      <c r="K189" s="158"/>
      <c r="L189" s="159"/>
      <c r="M189" s="244"/>
      <c r="N189" s="155"/>
      <c r="O189" s="345">
        <f t="shared" si="97"/>
      </c>
      <c r="P189" s="345">
        <f t="shared" si="83"/>
      </c>
      <c r="Q189" s="508"/>
      <c r="R189" s="346"/>
      <c r="S189" s="347"/>
      <c r="T189" s="348"/>
      <c r="U189" s="347"/>
      <c r="V189" s="348"/>
      <c r="W189" s="347"/>
      <c r="X189" s="348"/>
      <c r="Y189" s="347"/>
      <c r="Z189" s="348"/>
      <c r="AA189" s="340" t="e">
        <f t="shared" si="84"/>
        <v>#N/A</v>
      </c>
      <c r="AB189" s="339">
        <f t="shared" si="98"/>
      </c>
      <c r="AC189" s="339">
        <f t="shared" si="99"/>
      </c>
      <c r="AD189" s="255">
        <f t="shared" si="100"/>
      </c>
      <c r="AE189" s="256">
        <f t="shared" si="101"/>
      </c>
      <c r="AF189" s="256">
        <f t="shared" si="102"/>
      </c>
      <c r="AG189" s="255">
        <f t="shared" si="103"/>
      </c>
      <c r="AH189" s="255">
        <f t="shared" si="85"/>
      </c>
      <c r="AI189" s="255">
        <f t="shared" si="104"/>
      </c>
      <c r="AJ189" s="255">
        <f t="shared" si="105"/>
      </c>
      <c r="AK189" s="255">
        <f t="shared" si="86"/>
      </c>
      <c r="AL189" s="255">
        <f t="shared" si="87"/>
      </c>
      <c r="AM189" s="120">
        <f ca="1" t="shared" si="120"/>
        <v>0</v>
      </c>
      <c r="AN189" s="120" t="e">
        <f t="shared" si="88"/>
        <v>#N/A</v>
      </c>
      <c r="AO189" s="120">
        <f>ROWS($AO$4:AO189)-1</f>
        <v>185</v>
      </c>
      <c r="AP189" s="255" t="e">
        <f t="shared" si="121"/>
        <v>#N/A</v>
      </c>
      <c r="AQ189" s="120" t="e">
        <f t="shared" si="89"/>
        <v>#N/A</v>
      </c>
      <c r="AR189" s="120" t="e">
        <f t="shared" si="117"/>
        <v>#N/A</v>
      </c>
      <c r="AS189" s="121">
        <f t="shared" si="122"/>
        <v>1</v>
      </c>
      <c r="AT189" s="120" t="str">
        <f t="shared" si="123"/>
        <v> </v>
      </c>
      <c r="AU189" s="120" t="str">
        <f t="shared" si="124"/>
        <v> </v>
      </c>
      <c r="AV189" s="120" t="e">
        <f t="shared" si="90"/>
        <v>#N/A</v>
      </c>
      <c r="AW189" s="120" t="e">
        <f t="shared" si="91"/>
        <v>#N/A</v>
      </c>
      <c r="AX189" s="120">
        <f t="shared" si="92"/>
      </c>
      <c r="AY189" s="120" t="e">
        <f t="shared" si="93"/>
        <v>#N/A</v>
      </c>
      <c r="AZ189" s="120" t="e">
        <f>VLOOKUP(AY189,'排出係数表'!$A$4:$C$202,2,FALSE)</f>
        <v>#N/A</v>
      </c>
      <c r="BA189" s="120" t="e">
        <f t="shared" si="94"/>
        <v>#N/A</v>
      </c>
      <c r="BB189" s="120" t="e">
        <f>VLOOKUP(AY189,'排出係数表'!$A$4:$C$202,3,FALSE)</f>
        <v>#N/A</v>
      </c>
      <c r="BC189" s="120" t="e">
        <f t="shared" si="95"/>
        <v>#N/A</v>
      </c>
      <c r="BD189" s="120">
        <f t="shared" si="106"/>
        <v>1</v>
      </c>
      <c r="BE189" s="122">
        <f t="shared" si="96"/>
      </c>
      <c r="BF189" s="123" t="e">
        <f t="shared" si="119"/>
        <v>#VALUE!</v>
      </c>
      <c r="BG189" s="122">
        <f t="shared" si="107"/>
      </c>
      <c r="BH189" s="120" t="e">
        <f t="shared" si="108"/>
        <v>#VALUE!</v>
      </c>
      <c r="BI189" s="120" t="e">
        <f t="shared" si="109"/>
        <v>#VALUE!</v>
      </c>
      <c r="BJ189" s="122" t="e">
        <f>VLOOKUP(AY189,'排出係数表'!$A$4:$D$202,4)</f>
        <v>#N/A</v>
      </c>
      <c r="BK189" s="257">
        <f t="shared" si="116"/>
      </c>
    </row>
    <row r="190" spans="1:63" s="124" customFormat="1" ht="13.5" customHeight="1">
      <c r="A190" s="120"/>
      <c r="B190" s="120"/>
      <c r="C190" s="155"/>
      <c r="D190" s="155"/>
      <c r="E190" s="155"/>
      <c r="F190" s="155"/>
      <c r="G190" s="156"/>
      <c r="H190" s="157"/>
      <c r="I190" s="155"/>
      <c r="J190" s="155"/>
      <c r="K190" s="158"/>
      <c r="L190" s="159"/>
      <c r="M190" s="244"/>
      <c r="N190" s="155"/>
      <c r="O190" s="345">
        <f t="shared" si="97"/>
      </c>
      <c r="P190" s="345">
        <f t="shared" si="83"/>
      </c>
      <c r="Q190" s="508"/>
      <c r="R190" s="346"/>
      <c r="S190" s="347"/>
      <c r="T190" s="348"/>
      <c r="U190" s="347"/>
      <c r="V190" s="348"/>
      <c r="W190" s="347"/>
      <c r="X190" s="348"/>
      <c r="Y190" s="347"/>
      <c r="Z190" s="348"/>
      <c r="AA190" s="340" t="e">
        <f t="shared" si="84"/>
        <v>#N/A</v>
      </c>
      <c r="AB190" s="339">
        <f t="shared" si="98"/>
      </c>
      <c r="AC190" s="339">
        <f t="shared" si="99"/>
      </c>
      <c r="AD190" s="255">
        <f t="shared" si="100"/>
      </c>
      <c r="AE190" s="256">
        <f t="shared" si="101"/>
      </c>
      <c r="AF190" s="256">
        <f t="shared" si="102"/>
      </c>
      <c r="AG190" s="255">
        <f t="shared" si="103"/>
      </c>
      <c r="AH190" s="255">
        <f t="shared" si="85"/>
      </c>
      <c r="AI190" s="255">
        <f t="shared" si="104"/>
      </c>
      <c r="AJ190" s="255">
        <f t="shared" si="105"/>
      </c>
      <c r="AK190" s="255">
        <f t="shared" si="86"/>
      </c>
      <c r="AL190" s="255">
        <f t="shared" si="87"/>
      </c>
      <c r="AM190" s="120">
        <f ca="1" t="shared" si="120"/>
        <v>0</v>
      </c>
      <c r="AN190" s="120" t="e">
        <f t="shared" si="88"/>
        <v>#N/A</v>
      </c>
      <c r="AO190" s="120">
        <f>ROWS($AO$4:AO190)-1</f>
        <v>186</v>
      </c>
      <c r="AP190" s="255" t="e">
        <f t="shared" si="121"/>
        <v>#N/A</v>
      </c>
      <c r="AQ190" s="120" t="e">
        <f t="shared" si="89"/>
        <v>#N/A</v>
      </c>
      <c r="AR190" s="120" t="e">
        <f t="shared" si="117"/>
        <v>#N/A</v>
      </c>
      <c r="AS190" s="121">
        <f t="shared" si="122"/>
        <v>1</v>
      </c>
      <c r="AT190" s="120" t="str">
        <f t="shared" si="123"/>
        <v> </v>
      </c>
      <c r="AU190" s="120" t="str">
        <f t="shared" si="124"/>
        <v> </v>
      </c>
      <c r="AV190" s="120" t="e">
        <f t="shared" si="90"/>
        <v>#N/A</v>
      </c>
      <c r="AW190" s="120" t="e">
        <f t="shared" si="91"/>
        <v>#N/A</v>
      </c>
      <c r="AX190" s="120">
        <f t="shared" si="92"/>
      </c>
      <c r="AY190" s="120" t="e">
        <f t="shared" si="93"/>
        <v>#N/A</v>
      </c>
      <c r="AZ190" s="120" t="e">
        <f>VLOOKUP(AY190,'排出係数表'!$A$4:$C$202,2,FALSE)</f>
        <v>#N/A</v>
      </c>
      <c r="BA190" s="120" t="e">
        <f t="shared" si="94"/>
        <v>#N/A</v>
      </c>
      <c r="BB190" s="120" t="e">
        <f>VLOOKUP(AY190,'排出係数表'!$A$4:$C$202,3,FALSE)</f>
        <v>#N/A</v>
      </c>
      <c r="BC190" s="120" t="e">
        <f t="shared" si="95"/>
        <v>#N/A</v>
      </c>
      <c r="BD190" s="120">
        <f t="shared" si="106"/>
        <v>1</v>
      </c>
      <c r="BE190" s="122">
        <f t="shared" si="96"/>
      </c>
      <c r="BF190" s="123" t="e">
        <f t="shared" si="119"/>
        <v>#VALUE!</v>
      </c>
      <c r="BG190" s="122">
        <f t="shared" si="107"/>
      </c>
      <c r="BH190" s="120" t="e">
        <f t="shared" si="108"/>
        <v>#VALUE!</v>
      </c>
      <c r="BI190" s="120" t="e">
        <f t="shared" si="109"/>
        <v>#VALUE!</v>
      </c>
      <c r="BJ190" s="122" t="e">
        <f>VLOOKUP(AY190,'排出係数表'!$A$4:$D$202,4)</f>
        <v>#N/A</v>
      </c>
      <c r="BK190" s="257">
        <f t="shared" si="116"/>
      </c>
    </row>
    <row r="191" spans="1:63" s="124" customFormat="1" ht="13.5" customHeight="1">
      <c r="A191" s="120"/>
      <c r="B191" s="120"/>
      <c r="C191" s="155"/>
      <c r="D191" s="155"/>
      <c r="E191" s="155"/>
      <c r="F191" s="155"/>
      <c r="G191" s="156"/>
      <c r="H191" s="157"/>
      <c r="I191" s="155"/>
      <c r="J191" s="155"/>
      <c r="K191" s="158"/>
      <c r="L191" s="159"/>
      <c r="M191" s="244"/>
      <c r="N191" s="155"/>
      <c r="O191" s="345">
        <f t="shared" si="97"/>
      </c>
      <c r="P191" s="345">
        <f t="shared" si="83"/>
      </c>
      <c r="Q191" s="508"/>
      <c r="R191" s="346"/>
      <c r="S191" s="347"/>
      <c r="T191" s="348"/>
      <c r="U191" s="347"/>
      <c r="V191" s="348"/>
      <c r="W191" s="347"/>
      <c r="X191" s="348"/>
      <c r="Y191" s="347"/>
      <c r="Z191" s="348"/>
      <c r="AA191" s="340" t="e">
        <f t="shared" si="84"/>
        <v>#N/A</v>
      </c>
      <c r="AB191" s="339">
        <f t="shared" si="98"/>
      </c>
      <c r="AC191" s="339">
        <f t="shared" si="99"/>
      </c>
      <c r="AD191" s="255">
        <f t="shared" si="100"/>
      </c>
      <c r="AE191" s="256">
        <f t="shared" si="101"/>
      </c>
      <c r="AF191" s="256">
        <f t="shared" si="102"/>
      </c>
      <c r="AG191" s="255">
        <f t="shared" si="103"/>
      </c>
      <c r="AH191" s="255">
        <f t="shared" si="85"/>
      </c>
      <c r="AI191" s="255">
        <f t="shared" si="104"/>
      </c>
      <c r="AJ191" s="255">
        <f t="shared" si="105"/>
      </c>
      <c r="AK191" s="255">
        <f t="shared" si="86"/>
      </c>
      <c r="AL191" s="255">
        <f t="shared" si="87"/>
      </c>
      <c r="AM191" s="120">
        <f ca="1" t="shared" si="120"/>
        <v>0</v>
      </c>
      <c r="AN191" s="120" t="e">
        <f t="shared" si="88"/>
        <v>#N/A</v>
      </c>
      <c r="AO191" s="120">
        <f>ROWS($AO$4:AO191)-1</f>
        <v>187</v>
      </c>
      <c r="AP191" s="255" t="e">
        <f t="shared" si="121"/>
        <v>#N/A</v>
      </c>
      <c r="AQ191" s="120" t="e">
        <f t="shared" si="89"/>
        <v>#N/A</v>
      </c>
      <c r="AR191" s="120" t="e">
        <f t="shared" si="117"/>
        <v>#N/A</v>
      </c>
      <c r="AS191" s="121">
        <f t="shared" si="122"/>
        <v>1</v>
      </c>
      <c r="AT191" s="120" t="str">
        <f t="shared" si="123"/>
        <v> </v>
      </c>
      <c r="AU191" s="120" t="str">
        <f t="shared" si="124"/>
        <v> </v>
      </c>
      <c r="AV191" s="120" t="e">
        <f t="shared" si="90"/>
        <v>#N/A</v>
      </c>
      <c r="AW191" s="120" t="e">
        <f t="shared" si="91"/>
        <v>#N/A</v>
      </c>
      <c r="AX191" s="120">
        <f t="shared" si="92"/>
      </c>
      <c r="AY191" s="120" t="e">
        <f t="shared" si="93"/>
        <v>#N/A</v>
      </c>
      <c r="AZ191" s="120" t="e">
        <f>VLOOKUP(AY191,'排出係数表'!$A$4:$C$202,2,FALSE)</f>
        <v>#N/A</v>
      </c>
      <c r="BA191" s="120" t="e">
        <f t="shared" si="94"/>
        <v>#N/A</v>
      </c>
      <c r="BB191" s="120" t="e">
        <f>VLOOKUP(AY191,'排出係数表'!$A$4:$C$202,3,FALSE)</f>
        <v>#N/A</v>
      </c>
      <c r="BC191" s="120" t="e">
        <f t="shared" si="95"/>
        <v>#N/A</v>
      </c>
      <c r="BD191" s="120">
        <f t="shared" si="106"/>
        <v>1</v>
      </c>
      <c r="BE191" s="122">
        <f t="shared" si="96"/>
      </c>
      <c r="BF191" s="123" t="e">
        <f t="shared" si="119"/>
        <v>#VALUE!</v>
      </c>
      <c r="BG191" s="122">
        <f t="shared" si="107"/>
      </c>
      <c r="BH191" s="120" t="e">
        <f t="shared" si="108"/>
        <v>#VALUE!</v>
      </c>
      <c r="BI191" s="120" t="e">
        <f t="shared" si="109"/>
        <v>#VALUE!</v>
      </c>
      <c r="BJ191" s="122" t="e">
        <f>VLOOKUP(AY191,'排出係数表'!$A$4:$D$202,4)</f>
        <v>#N/A</v>
      </c>
      <c r="BK191" s="257">
        <f t="shared" si="116"/>
      </c>
    </row>
    <row r="192" spans="1:63" s="124" customFormat="1" ht="13.5" customHeight="1">
      <c r="A192" s="120"/>
      <c r="B192" s="120"/>
      <c r="C192" s="155"/>
      <c r="D192" s="155"/>
      <c r="E192" s="155"/>
      <c r="F192" s="155"/>
      <c r="G192" s="156"/>
      <c r="H192" s="157"/>
      <c r="I192" s="155"/>
      <c r="J192" s="155"/>
      <c r="K192" s="158"/>
      <c r="L192" s="159"/>
      <c r="M192" s="244"/>
      <c r="N192" s="155"/>
      <c r="O192" s="345">
        <f t="shared" si="97"/>
      </c>
      <c r="P192" s="345">
        <f t="shared" si="83"/>
      </c>
      <c r="Q192" s="508"/>
      <c r="R192" s="346"/>
      <c r="S192" s="347"/>
      <c r="T192" s="348"/>
      <c r="U192" s="347"/>
      <c r="V192" s="348"/>
      <c r="W192" s="347"/>
      <c r="X192" s="348"/>
      <c r="Y192" s="347"/>
      <c r="Z192" s="348"/>
      <c r="AA192" s="340" t="e">
        <f t="shared" si="84"/>
        <v>#N/A</v>
      </c>
      <c r="AB192" s="339">
        <f t="shared" si="98"/>
      </c>
      <c r="AC192" s="339">
        <f t="shared" si="99"/>
      </c>
      <c r="AD192" s="255">
        <f t="shared" si="100"/>
      </c>
      <c r="AE192" s="256">
        <f t="shared" si="101"/>
      </c>
      <c r="AF192" s="256">
        <f t="shared" si="102"/>
      </c>
      <c r="AG192" s="255">
        <f t="shared" si="103"/>
      </c>
      <c r="AH192" s="255">
        <f t="shared" si="85"/>
      </c>
      <c r="AI192" s="255">
        <f t="shared" si="104"/>
      </c>
      <c r="AJ192" s="255">
        <f t="shared" si="105"/>
      </c>
      <c r="AK192" s="255">
        <f t="shared" si="86"/>
      </c>
      <c r="AL192" s="255">
        <f t="shared" si="87"/>
      </c>
      <c r="AM192" s="120">
        <f ca="1" t="shared" si="120"/>
        <v>0</v>
      </c>
      <c r="AN192" s="120" t="e">
        <f t="shared" si="88"/>
        <v>#N/A</v>
      </c>
      <c r="AO192" s="120">
        <f>ROWS($AO$4:AO192)-1</f>
        <v>188</v>
      </c>
      <c r="AP192" s="255" t="e">
        <f t="shared" si="121"/>
        <v>#N/A</v>
      </c>
      <c r="AQ192" s="120" t="e">
        <f t="shared" si="89"/>
        <v>#N/A</v>
      </c>
      <c r="AR192" s="120" t="e">
        <f t="shared" si="117"/>
        <v>#N/A</v>
      </c>
      <c r="AS192" s="121">
        <f t="shared" si="122"/>
        <v>1</v>
      </c>
      <c r="AT192" s="120" t="str">
        <f t="shared" si="123"/>
        <v> </v>
      </c>
      <c r="AU192" s="120" t="str">
        <f t="shared" si="124"/>
        <v> </v>
      </c>
      <c r="AV192" s="120" t="e">
        <f t="shared" si="90"/>
        <v>#N/A</v>
      </c>
      <c r="AW192" s="120" t="e">
        <f t="shared" si="91"/>
        <v>#N/A</v>
      </c>
      <c r="AX192" s="120">
        <f t="shared" si="92"/>
      </c>
      <c r="AY192" s="120" t="e">
        <f t="shared" si="93"/>
        <v>#N/A</v>
      </c>
      <c r="AZ192" s="120" t="e">
        <f>VLOOKUP(AY192,'排出係数表'!$A$4:$C$202,2,FALSE)</f>
        <v>#N/A</v>
      </c>
      <c r="BA192" s="120" t="e">
        <f t="shared" si="94"/>
        <v>#N/A</v>
      </c>
      <c r="BB192" s="120" t="e">
        <f>VLOOKUP(AY192,'排出係数表'!$A$4:$C$202,3,FALSE)</f>
        <v>#N/A</v>
      </c>
      <c r="BC192" s="120" t="e">
        <f t="shared" si="95"/>
        <v>#N/A</v>
      </c>
      <c r="BD192" s="120">
        <f t="shared" si="106"/>
        <v>1</v>
      </c>
      <c r="BE192" s="122">
        <f t="shared" si="96"/>
      </c>
      <c r="BF192" s="123" t="e">
        <f t="shared" si="119"/>
        <v>#VALUE!</v>
      </c>
      <c r="BG192" s="122">
        <f t="shared" si="107"/>
      </c>
      <c r="BH192" s="120" t="e">
        <f t="shared" si="108"/>
        <v>#VALUE!</v>
      </c>
      <c r="BI192" s="120" t="e">
        <f t="shared" si="109"/>
        <v>#VALUE!</v>
      </c>
      <c r="BJ192" s="122" t="e">
        <f>VLOOKUP(AY192,'排出係数表'!$A$4:$D$202,4)</f>
        <v>#N/A</v>
      </c>
      <c r="BK192" s="257">
        <f t="shared" si="116"/>
      </c>
    </row>
    <row r="193" spans="1:63" s="124" customFormat="1" ht="13.5" customHeight="1">
      <c r="A193" s="120"/>
      <c r="B193" s="120"/>
      <c r="C193" s="155"/>
      <c r="D193" s="155"/>
      <c r="E193" s="155"/>
      <c r="F193" s="155"/>
      <c r="G193" s="156"/>
      <c r="H193" s="157"/>
      <c r="I193" s="155"/>
      <c r="J193" s="155"/>
      <c r="K193" s="158"/>
      <c r="L193" s="159"/>
      <c r="M193" s="244"/>
      <c r="N193" s="155"/>
      <c r="O193" s="345">
        <f t="shared" si="97"/>
      </c>
      <c r="P193" s="345">
        <f t="shared" si="83"/>
      </c>
      <c r="Q193" s="508"/>
      <c r="R193" s="346"/>
      <c r="S193" s="347"/>
      <c r="T193" s="348"/>
      <c r="U193" s="347"/>
      <c r="V193" s="348"/>
      <c r="W193" s="347"/>
      <c r="X193" s="348"/>
      <c r="Y193" s="347"/>
      <c r="Z193" s="348"/>
      <c r="AA193" s="340" t="e">
        <f t="shared" si="84"/>
        <v>#N/A</v>
      </c>
      <c r="AB193" s="339">
        <f t="shared" si="98"/>
      </c>
      <c r="AC193" s="339">
        <f t="shared" si="99"/>
      </c>
      <c r="AD193" s="255">
        <f t="shared" si="100"/>
      </c>
      <c r="AE193" s="256">
        <f t="shared" si="101"/>
      </c>
      <c r="AF193" s="256">
        <f t="shared" si="102"/>
      </c>
      <c r="AG193" s="255">
        <f t="shared" si="103"/>
      </c>
      <c r="AH193" s="255">
        <f t="shared" si="85"/>
      </c>
      <c r="AI193" s="255">
        <f t="shared" si="104"/>
      </c>
      <c r="AJ193" s="255">
        <f t="shared" si="105"/>
      </c>
      <c r="AK193" s="255">
        <f t="shared" si="86"/>
      </c>
      <c r="AL193" s="255">
        <f t="shared" si="87"/>
      </c>
      <c r="AM193" s="120">
        <f ca="1" t="shared" si="120"/>
        <v>0</v>
      </c>
      <c r="AN193" s="120" t="e">
        <f t="shared" si="88"/>
        <v>#N/A</v>
      </c>
      <c r="AO193" s="120">
        <f>ROWS($AO$4:AO193)-1</f>
        <v>189</v>
      </c>
      <c r="AP193" s="255" t="e">
        <f t="shared" si="121"/>
        <v>#N/A</v>
      </c>
      <c r="AQ193" s="120" t="e">
        <f t="shared" si="89"/>
        <v>#N/A</v>
      </c>
      <c r="AR193" s="120" t="e">
        <f t="shared" si="117"/>
        <v>#N/A</v>
      </c>
      <c r="AS193" s="121">
        <f t="shared" si="122"/>
        <v>1</v>
      </c>
      <c r="AT193" s="120" t="str">
        <f t="shared" si="123"/>
        <v> </v>
      </c>
      <c r="AU193" s="120" t="str">
        <f t="shared" si="124"/>
        <v> </v>
      </c>
      <c r="AV193" s="120" t="e">
        <f t="shared" si="90"/>
        <v>#N/A</v>
      </c>
      <c r="AW193" s="120" t="e">
        <f t="shared" si="91"/>
        <v>#N/A</v>
      </c>
      <c r="AX193" s="120">
        <f t="shared" si="92"/>
      </c>
      <c r="AY193" s="120" t="e">
        <f t="shared" si="93"/>
        <v>#N/A</v>
      </c>
      <c r="AZ193" s="120" t="e">
        <f>VLOOKUP(AY193,'排出係数表'!$A$4:$C$202,2,FALSE)</f>
        <v>#N/A</v>
      </c>
      <c r="BA193" s="120" t="e">
        <f t="shared" si="94"/>
        <v>#N/A</v>
      </c>
      <c r="BB193" s="120" t="e">
        <f>VLOOKUP(AY193,'排出係数表'!$A$4:$C$202,3,FALSE)</f>
        <v>#N/A</v>
      </c>
      <c r="BC193" s="120" t="e">
        <f t="shared" si="95"/>
        <v>#N/A</v>
      </c>
      <c r="BD193" s="120">
        <f t="shared" si="106"/>
        <v>1</v>
      </c>
      <c r="BE193" s="122">
        <f t="shared" si="96"/>
      </c>
      <c r="BF193" s="123" t="e">
        <f t="shared" si="119"/>
        <v>#VALUE!</v>
      </c>
      <c r="BG193" s="122">
        <f t="shared" si="107"/>
      </c>
      <c r="BH193" s="120" t="e">
        <f t="shared" si="108"/>
        <v>#VALUE!</v>
      </c>
      <c r="BI193" s="120" t="e">
        <f t="shared" si="109"/>
        <v>#VALUE!</v>
      </c>
      <c r="BJ193" s="122" t="e">
        <f>VLOOKUP(AY193,'排出係数表'!$A$4:$D$202,4)</f>
        <v>#N/A</v>
      </c>
      <c r="BK193" s="257">
        <f t="shared" si="116"/>
      </c>
    </row>
    <row r="194" spans="1:63" s="124" customFormat="1" ht="13.5" customHeight="1">
      <c r="A194" s="120"/>
      <c r="B194" s="120"/>
      <c r="C194" s="155"/>
      <c r="D194" s="155"/>
      <c r="E194" s="155"/>
      <c r="F194" s="155"/>
      <c r="G194" s="156"/>
      <c r="H194" s="157"/>
      <c r="I194" s="155"/>
      <c r="J194" s="155"/>
      <c r="K194" s="158"/>
      <c r="L194" s="159"/>
      <c r="M194" s="244"/>
      <c r="N194" s="155"/>
      <c r="O194" s="345">
        <f t="shared" si="97"/>
      </c>
      <c r="P194" s="345">
        <f t="shared" si="83"/>
      </c>
      <c r="Q194" s="508"/>
      <c r="R194" s="346"/>
      <c r="S194" s="347"/>
      <c r="T194" s="348"/>
      <c r="U194" s="347"/>
      <c r="V194" s="348"/>
      <c r="W194" s="347"/>
      <c r="X194" s="348"/>
      <c r="Y194" s="347"/>
      <c r="Z194" s="348"/>
      <c r="AA194" s="340" t="e">
        <f t="shared" si="84"/>
        <v>#N/A</v>
      </c>
      <c r="AB194" s="339">
        <f t="shared" si="98"/>
      </c>
      <c r="AC194" s="339">
        <f t="shared" si="99"/>
      </c>
      <c r="AD194" s="255">
        <f t="shared" si="100"/>
      </c>
      <c r="AE194" s="256">
        <f t="shared" si="101"/>
      </c>
      <c r="AF194" s="256">
        <f t="shared" si="102"/>
      </c>
      <c r="AG194" s="255">
        <f t="shared" si="103"/>
      </c>
      <c r="AH194" s="255">
        <f t="shared" si="85"/>
      </c>
      <c r="AI194" s="255">
        <f t="shared" si="104"/>
      </c>
      <c r="AJ194" s="255">
        <f t="shared" si="105"/>
      </c>
      <c r="AK194" s="255">
        <f t="shared" si="86"/>
      </c>
      <c r="AL194" s="255">
        <f t="shared" si="87"/>
      </c>
      <c r="AM194" s="120">
        <f ca="1" t="shared" si="120"/>
        <v>0</v>
      </c>
      <c r="AN194" s="120" t="e">
        <f t="shared" si="88"/>
        <v>#N/A</v>
      </c>
      <c r="AO194" s="120">
        <f>ROWS($AO$4:AO194)-1</f>
        <v>190</v>
      </c>
      <c r="AP194" s="255" t="e">
        <f t="shared" si="121"/>
        <v>#N/A</v>
      </c>
      <c r="AQ194" s="120" t="e">
        <f t="shared" si="89"/>
        <v>#N/A</v>
      </c>
      <c r="AR194" s="120" t="e">
        <f t="shared" si="117"/>
        <v>#N/A</v>
      </c>
      <c r="AS194" s="121">
        <f t="shared" si="122"/>
        <v>1</v>
      </c>
      <c r="AT194" s="120" t="str">
        <f t="shared" si="123"/>
        <v> </v>
      </c>
      <c r="AU194" s="120" t="str">
        <f t="shared" si="124"/>
        <v> </v>
      </c>
      <c r="AV194" s="120" t="e">
        <f t="shared" si="90"/>
        <v>#N/A</v>
      </c>
      <c r="AW194" s="120" t="e">
        <f t="shared" si="91"/>
        <v>#N/A</v>
      </c>
      <c r="AX194" s="120">
        <f t="shared" si="92"/>
      </c>
      <c r="AY194" s="120" t="e">
        <f t="shared" si="93"/>
        <v>#N/A</v>
      </c>
      <c r="AZ194" s="120" t="e">
        <f>VLOOKUP(AY194,'排出係数表'!$A$4:$C$202,2,FALSE)</f>
        <v>#N/A</v>
      </c>
      <c r="BA194" s="120" t="e">
        <f t="shared" si="94"/>
        <v>#N/A</v>
      </c>
      <c r="BB194" s="120" t="e">
        <f>VLOOKUP(AY194,'排出係数表'!$A$4:$C$202,3,FALSE)</f>
        <v>#N/A</v>
      </c>
      <c r="BC194" s="120" t="e">
        <f t="shared" si="95"/>
        <v>#N/A</v>
      </c>
      <c r="BD194" s="120">
        <f t="shared" si="106"/>
        <v>1</v>
      </c>
      <c r="BE194" s="122">
        <f t="shared" si="96"/>
      </c>
      <c r="BF194" s="123" t="e">
        <f t="shared" si="119"/>
        <v>#VALUE!</v>
      </c>
      <c r="BG194" s="122">
        <f t="shared" si="107"/>
      </c>
      <c r="BH194" s="120" t="e">
        <f t="shared" si="108"/>
        <v>#VALUE!</v>
      </c>
      <c r="BI194" s="120" t="e">
        <f t="shared" si="109"/>
        <v>#VALUE!</v>
      </c>
      <c r="BJ194" s="122" t="e">
        <f>VLOOKUP(AY194,'排出係数表'!$A$4:$D$202,4)</f>
        <v>#N/A</v>
      </c>
      <c r="BK194" s="257">
        <f t="shared" si="116"/>
      </c>
    </row>
    <row r="195" spans="1:63" s="124" customFormat="1" ht="13.5" customHeight="1">
      <c r="A195" s="120"/>
      <c r="B195" s="120"/>
      <c r="C195" s="155"/>
      <c r="D195" s="155"/>
      <c r="E195" s="155"/>
      <c r="F195" s="155"/>
      <c r="G195" s="156"/>
      <c r="H195" s="157"/>
      <c r="I195" s="155"/>
      <c r="J195" s="155"/>
      <c r="K195" s="158"/>
      <c r="L195" s="159"/>
      <c r="M195" s="244"/>
      <c r="N195" s="155"/>
      <c r="O195" s="345">
        <f t="shared" si="97"/>
      </c>
      <c r="P195" s="345">
        <f t="shared" si="83"/>
      </c>
      <c r="Q195" s="508"/>
      <c r="R195" s="346"/>
      <c r="S195" s="347"/>
      <c r="T195" s="348"/>
      <c r="U195" s="347"/>
      <c r="V195" s="348"/>
      <c r="W195" s="347"/>
      <c r="X195" s="348"/>
      <c r="Y195" s="347"/>
      <c r="Z195" s="348"/>
      <c r="AA195" s="340" t="e">
        <f t="shared" si="84"/>
        <v>#N/A</v>
      </c>
      <c r="AB195" s="339">
        <f t="shared" si="98"/>
      </c>
      <c r="AC195" s="339">
        <f t="shared" si="99"/>
      </c>
      <c r="AD195" s="255">
        <f t="shared" si="100"/>
      </c>
      <c r="AE195" s="256">
        <f t="shared" si="101"/>
      </c>
      <c r="AF195" s="256">
        <f t="shared" si="102"/>
      </c>
      <c r="AG195" s="255">
        <f t="shared" si="103"/>
      </c>
      <c r="AH195" s="255">
        <f t="shared" si="85"/>
      </c>
      <c r="AI195" s="255">
        <f t="shared" si="104"/>
      </c>
      <c r="AJ195" s="255">
        <f t="shared" si="105"/>
      </c>
      <c r="AK195" s="255">
        <f t="shared" si="86"/>
      </c>
      <c r="AL195" s="255">
        <f t="shared" si="87"/>
      </c>
      <c r="AM195" s="120">
        <f ca="1" t="shared" si="120"/>
        <v>0</v>
      </c>
      <c r="AN195" s="120" t="e">
        <f t="shared" si="88"/>
        <v>#N/A</v>
      </c>
      <c r="AO195" s="120">
        <f>ROWS($AO$4:AO195)-1</f>
        <v>191</v>
      </c>
      <c r="AP195" s="255" t="e">
        <f t="shared" si="121"/>
        <v>#N/A</v>
      </c>
      <c r="AQ195" s="120" t="e">
        <f t="shared" si="89"/>
        <v>#N/A</v>
      </c>
      <c r="AR195" s="120" t="e">
        <f t="shared" si="117"/>
        <v>#N/A</v>
      </c>
      <c r="AS195" s="121">
        <f t="shared" si="122"/>
        <v>1</v>
      </c>
      <c r="AT195" s="120" t="str">
        <f t="shared" si="123"/>
        <v> </v>
      </c>
      <c r="AU195" s="120" t="str">
        <f t="shared" si="124"/>
        <v> </v>
      </c>
      <c r="AV195" s="120" t="e">
        <f t="shared" si="90"/>
        <v>#N/A</v>
      </c>
      <c r="AW195" s="120" t="e">
        <f t="shared" si="91"/>
        <v>#N/A</v>
      </c>
      <c r="AX195" s="120">
        <f t="shared" si="92"/>
      </c>
      <c r="AY195" s="120" t="e">
        <f t="shared" si="93"/>
        <v>#N/A</v>
      </c>
      <c r="AZ195" s="120" t="e">
        <f>VLOOKUP(AY195,'排出係数表'!$A$4:$C$202,2,FALSE)</f>
        <v>#N/A</v>
      </c>
      <c r="BA195" s="120" t="e">
        <f t="shared" si="94"/>
        <v>#N/A</v>
      </c>
      <c r="BB195" s="120" t="e">
        <f>VLOOKUP(AY195,'排出係数表'!$A$4:$C$202,3,FALSE)</f>
        <v>#N/A</v>
      </c>
      <c r="BC195" s="120" t="e">
        <f t="shared" si="95"/>
        <v>#N/A</v>
      </c>
      <c r="BD195" s="120">
        <f t="shared" si="106"/>
        <v>1</v>
      </c>
      <c r="BE195" s="122">
        <f t="shared" si="96"/>
      </c>
      <c r="BF195" s="123" t="e">
        <f t="shared" si="119"/>
        <v>#VALUE!</v>
      </c>
      <c r="BG195" s="122">
        <f t="shared" si="107"/>
      </c>
      <c r="BH195" s="120" t="e">
        <f t="shared" si="108"/>
        <v>#VALUE!</v>
      </c>
      <c r="BI195" s="120" t="e">
        <f t="shared" si="109"/>
        <v>#VALUE!</v>
      </c>
      <c r="BJ195" s="122" t="e">
        <f>VLOOKUP(AY195,'排出係数表'!$A$4:$D$202,4)</f>
        <v>#N/A</v>
      </c>
      <c r="BK195" s="257">
        <f t="shared" si="116"/>
      </c>
    </row>
    <row r="196" spans="1:63" s="124" customFormat="1" ht="13.5" customHeight="1">
      <c r="A196" s="120"/>
      <c r="B196" s="120"/>
      <c r="C196" s="155"/>
      <c r="D196" s="155"/>
      <c r="E196" s="155"/>
      <c r="F196" s="155"/>
      <c r="G196" s="156"/>
      <c r="H196" s="157"/>
      <c r="I196" s="155"/>
      <c r="J196" s="155"/>
      <c r="K196" s="158"/>
      <c r="L196" s="159"/>
      <c r="M196" s="244"/>
      <c r="N196" s="155"/>
      <c r="O196" s="345">
        <f t="shared" si="97"/>
      </c>
      <c r="P196" s="345">
        <f t="shared" si="83"/>
      </c>
      <c r="Q196" s="508"/>
      <c r="R196" s="346"/>
      <c r="S196" s="347"/>
      <c r="T196" s="348"/>
      <c r="U196" s="347"/>
      <c r="V196" s="348"/>
      <c r="W196" s="347"/>
      <c r="X196" s="348"/>
      <c r="Y196" s="347"/>
      <c r="Z196" s="348"/>
      <c r="AA196" s="340" t="e">
        <f t="shared" si="84"/>
        <v>#N/A</v>
      </c>
      <c r="AB196" s="339">
        <f t="shared" si="98"/>
      </c>
      <c r="AC196" s="339">
        <f t="shared" si="99"/>
      </c>
      <c r="AD196" s="255">
        <f t="shared" si="100"/>
      </c>
      <c r="AE196" s="256">
        <f t="shared" si="101"/>
      </c>
      <c r="AF196" s="256">
        <f t="shared" si="102"/>
      </c>
      <c r="AG196" s="255">
        <f t="shared" si="103"/>
      </c>
      <c r="AH196" s="255">
        <f t="shared" si="85"/>
      </c>
      <c r="AI196" s="255">
        <f t="shared" si="104"/>
      </c>
      <c r="AJ196" s="255">
        <f t="shared" si="105"/>
      </c>
      <c r="AK196" s="255">
        <f t="shared" si="86"/>
      </c>
      <c r="AL196" s="255">
        <f t="shared" si="87"/>
      </c>
      <c r="AM196" s="120">
        <f ca="1" t="shared" si="120"/>
        <v>0</v>
      </c>
      <c r="AN196" s="120" t="e">
        <f t="shared" si="88"/>
        <v>#N/A</v>
      </c>
      <c r="AO196" s="120">
        <f>ROWS($AO$4:AO196)-1</f>
        <v>192</v>
      </c>
      <c r="AP196" s="255" t="e">
        <f t="shared" si="121"/>
        <v>#N/A</v>
      </c>
      <c r="AQ196" s="120" t="e">
        <f t="shared" si="89"/>
        <v>#N/A</v>
      </c>
      <c r="AR196" s="120" t="e">
        <f t="shared" si="117"/>
        <v>#N/A</v>
      </c>
      <c r="AS196" s="121">
        <f t="shared" si="122"/>
        <v>1</v>
      </c>
      <c r="AT196" s="120" t="str">
        <f t="shared" si="123"/>
        <v> </v>
      </c>
      <c r="AU196" s="120" t="str">
        <f t="shared" si="124"/>
        <v> </v>
      </c>
      <c r="AV196" s="120" t="e">
        <f t="shared" si="90"/>
        <v>#N/A</v>
      </c>
      <c r="AW196" s="120" t="e">
        <f t="shared" si="91"/>
        <v>#N/A</v>
      </c>
      <c r="AX196" s="120">
        <f t="shared" si="92"/>
      </c>
      <c r="AY196" s="120" t="e">
        <f t="shared" si="93"/>
        <v>#N/A</v>
      </c>
      <c r="AZ196" s="120" t="e">
        <f>VLOOKUP(AY196,'排出係数表'!$A$4:$C$202,2,FALSE)</f>
        <v>#N/A</v>
      </c>
      <c r="BA196" s="120" t="e">
        <f t="shared" si="94"/>
        <v>#N/A</v>
      </c>
      <c r="BB196" s="120" t="e">
        <f>VLOOKUP(AY196,'排出係数表'!$A$4:$C$202,3,FALSE)</f>
        <v>#N/A</v>
      </c>
      <c r="BC196" s="120" t="e">
        <f t="shared" si="95"/>
        <v>#N/A</v>
      </c>
      <c r="BD196" s="120">
        <f t="shared" si="106"/>
        <v>1</v>
      </c>
      <c r="BE196" s="122">
        <f t="shared" si="96"/>
      </c>
      <c r="BF196" s="123" t="e">
        <f t="shared" si="119"/>
        <v>#VALUE!</v>
      </c>
      <c r="BG196" s="122">
        <f t="shared" si="107"/>
      </c>
      <c r="BH196" s="120" t="e">
        <f t="shared" si="108"/>
        <v>#VALUE!</v>
      </c>
      <c r="BI196" s="120" t="e">
        <f t="shared" si="109"/>
        <v>#VALUE!</v>
      </c>
      <c r="BJ196" s="122" t="e">
        <f>VLOOKUP(AY196,'排出係数表'!$A$4:$D$202,4)</f>
        <v>#N/A</v>
      </c>
      <c r="BK196" s="257">
        <f t="shared" si="116"/>
      </c>
    </row>
    <row r="197" spans="1:63" s="124" customFormat="1" ht="13.5" customHeight="1">
      <c r="A197" s="120"/>
      <c r="B197" s="120"/>
      <c r="C197" s="155"/>
      <c r="D197" s="155"/>
      <c r="E197" s="155"/>
      <c r="F197" s="155"/>
      <c r="G197" s="156"/>
      <c r="H197" s="157"/>
      <c r="I197" s="155"/>
      <c r="J197" s="155"/>
      <c r="K197" s="158"/>
      <c r="L197" s="159"/>
      <c r="M197" s="244"/>
      <c r="N197" s="155"/>
      <c r="O197" s="345">
        <f t="shared" si="97"/>
      </c>
      <c r="P197" s="345">
        <f aca="true" t="shared" si="125" ref="P197:P260">IF(ISBLANK(J197)=TRUE,"",IF(AW197="メ","要確認",IF(ISNUMBER(BB197*BC197)=TRUE,BB197*BC197,"要確認")))</f>
      </c>
      <c r="Q197" s="508"/>
      <c r="R197" s="346"/>
      <c r="S197" s="347"/>
      <c r="T197" s="348"/>
      <c r="U197" s="347"/>
      <c r="V197" s="348"/>
      <c r="W197" s="347"/>
      <c r="X197" s="348"/>
      <c r="Y197" s="347"/>
      <c r="Z197" s="348"/>
      <c r="AA197" s="340" t="e">
        <f aca="true" t="shared" si="126" ref="AA197:AA260">IF(AND(BJ197="否",T197&lt;&gt;"廃止",V197&lt;&gt;"廃止",X197&lt;&gt;"廃止",Z197&lt;&gt;"廃止"),IF(OR(AND(OR(LEFT(F197,1)="1",LEFT(F197,1)="4"),BK197&lt;"199704"),AND(LEFT(F197,1)="2",BK197&lt;"199804"),AND(LEFT(F197,1)="3",I197&gt;6000,BK197&lt;"199404"),AND(LEFT(F197,1)="3",I197&lt;=6000,BK197&lt;"199604"),AND(OR(LEFT(F197,1)="5",LEFT(F197,1)="6",LEFT(F197,1)="7",LEFT(F197,1)="8"),BK197&lt;"199604")),"★",""),"")</f>
        <v>#N/A</v>
      </c>
      <c r="AB197" s="339">
        <f t="shared" si="98"/>
      </c>
      <c r="AC197" s="339">
        <f t="shared" si="99"/>
      </c>
      <c r="AD197" s="255">
        <f t="shared" si="100"/>
      </c>
      <c r="AE197" s="256">
        <f t="shared" si="101"/>
      </c>
      <c r="AF197" s="256">
        <f t="shared" si="102"/>
      </c>
      <c r="AG197" s="255">
        <f t="shared" si="103"/>
      </c>
      <c r="AH197" s="255">
        <f aca="true" t="shared" si="127" ref="AH197:AH260">IF(J197="","",LOOKUP($F$1,実績報告年度,$L$336:$L$339))</f>
      </c>
      <c r="AI197" s="255">
        <f t="shared" si="104"/>
      </c>
      <c r="AJ197" s="255">
        <f t="shared" si="105"/>
      </c>
      <c r="AK197" s="255">
        <f aca="true" t="shared" si="128" ref="AK197:AK260">IF(J197="","",IF(AND((AH197&gt;=AG197),(AH197&lt;=AI197)),1,0))</f>
      </c>
      <c r="AL197" s="255">
        <f aca="true" t="shared" si="129" ref="AL197:AL260">IF(J197="","",IF(AND((AH197&gt;=AG197),(AH197&lt;AI197)),1,0))</f>
      </c>
      <c r="AM197" s="120">
        <f ca="1" t="shared" si="120"/>
        <v>0</v>
      </c>
      <c r="AN197" s="120" t="e">
        <f aca="true" t="shared" si="130" ref="AN197:AN260">MATCH(AO197,$AM$5:$AM$304,0)</f>
        <v>#N/A</v>
      </c>
      <c r="AO197" s="120">
        <f>ROWS($AO$4:AO197)-1</f>
        <v>193</v>
      </c>
      <c r="AP197" s="255" t="e">
        <f t="shared" si="121"/>
        <v>#N/A</v>
      </c>
      <c r="AQ197" s="120" t="e">
        <f aca="true" t="shared" si="131" ref="AQ197:AQ260">LOOKUP(F197,種類,$L$307:$L$314)</f>
        <v>#N/A</v>
      </c>
      <c r="AR197" s="120" t="e">
        <f t="shared" si="117"/>
        <v>#N/A</v>
      </c>
      <c r="AS197" s="121">
        <f t="shared" si="122"/>
        <v>1</v>
      </c>
      <c r="AT197" s="120" t="str">
        <f t="shared" si="123"/>
        <v> </v>
      </c>
      <c r="AU197" s="120" t="str">
        <f t="shared" si="124"/>
        <v> </v>
      </c>
      <c r="AV197" s="120" t="e">
        <f aca="true" t="shared" si="132" ref="AV197:AV260">IF(AQ197="乗",0,IF(LEFT(F197,1)="4",0,IF(I197&lt;=1700,1,IF(I197&lt;=2500,2,IF(I197&lt;=3500,3,4)))))</f>
        <v>#N/A</v>
      </c>
      <c r="AW197" s="120" t="e">
        <f aca="true" t="shared" si="133" ref="AW197:AW260">LOOKUP(J197,燃料,$L$317:$L$333)</f>
        <v>#N/A</v>
      </c>
      <c r="AX197" s="120">
        <f aca="true" t="shared" si="134" ref="AX197:AX260">IF(ISERROR(SEARCH("-",ASC(G197),1))=TRUE,UPPER(ASC(G197)),UPPER(LEFT(ASC(G197),SEARCH("-",ASC(G197),1)-1)))</f>
      </c>
      <c r="AY197" s="120" t="e">
        <f aca="true" t="shared" si="135" ref="AY197:AY260">IF(AW197="電","電",CONCATENATE(AQ197,AV197,AW197,AX197))</f>
        <v>#N/A</v>
      </c>
      <c r="AZ197" s="120" t="e">
        <f>VLOOKUP(AY197,'排出係数表'!$A$4:$C$202,2,FALSE)</f>
        <v>#N/A</v>
      </c>
      <c r="BA197" s="120" t="e">
        <f aca="true" t="shared" si="136" ref="BA197:BA260">IF(OR(AND(LEFT(AX197,1)="U",AX197&lt;&gt;"U"),AND(LEFT(AX197,1)="L",AX197&lt;&gt;"L"),AND(LEFT(AX197,1)="T",AX197&lt;&gt;"T"),AND(LEFT(AX197,1)="Z",AX197&lt;&gt;"Z"),AND(LEFT(AX197,1)="Y",AX197&lt;&gt;"Y"),AND(LEFT(AX197,1)="X",AX197&lt;&gt;"X")),1,LOOKUP(J197,燃料,$M$317:$M$333))</f>
        <v>#N/A</v>
      </c>
      <c r="BB197" s="120" t="e">
        <f>VLOOKUP(AY197,'排出係数表'!$A$4:$C$202,3,FALSE)</f>
        <v>#N/A</v>
      </c>
      <c r="BC197" s="120" t="e">
        <f aca="true" t="shared" si="137" ref="BC197:BC260">LOOKUP(J197,燃料,$N$317:$N$333)</f>
        <v>#N/A</v>
      </c>
      <c r="BD197" s="120">
        <f t="shared" si="106"/>
        <v>1</v>
      </c>
      <c r="BE197" s="122">
        <f aca="true" t="shared" si="138" ref="BE197:BE260">IF(OR(AL197="",AL197=0),"",C197&amp;LEFT(F197,1)&amp;AT197)</f>
      </c>
      <c r="BF197" s="123" t="e">
        <f t="shared" si="119"/>
        <v>#VALUE!</v>
      </c>
      <c r="BG197" s="122">
        <f t="shared" si="107"/>
      </c>
      <c r="BH197" s="120" t="e">
        <f t="shared" si="108"/>
        <v>#VALUE!</v>
      </c>
      <c r="BI197" s="120" t="e">
        <f t="shared" si="109"/>
        <v>#VALUE!</v>
      </c>
      <c r="BJ197" s="122" t="e">
        <f>VLOOKUP(AY197,'排出係数表'!$A$4:$D$202,4)</f>
        <v>#N/A</v>
      </c>
      <c r="BK197" s="257">
        <f t="shared" si="116"/>
      </c>
    </row>
    <row r="198" spans="1:63" s="124" customFormat="1" ht="13.5" customHeight="1">
      <c r="A198" s="120"/>
      <c r="B198" s="120"/>
      <c r="C198" s="155"/>
      <c r="D198" s="155"/>
      <c r="E198" s="155"/>
      <c r="F198" s="155"/>
      <c r="G198" s="156"/>
      <c r="H198" s="157"/>
      <c r="I198" s="155"/>
      <c r="J198" s="155"/>
      <c r="K198" s="158"/>
      <c r="L198" s="159"/>
      <c r="M198" s="244"/>
      <c r="N198" s="155"/>
      <c r="O198" s="345">
        <f aca="true" t="shared" si="139" ref="O198:O261">IF(ISBLANK(J198)=TRUE,"",IF(OR(AW198="メ",M198="有"),"要確認",IF(ISNUMBER(AZ198*BA198)=TRUE,AZ198*BA198,"要確認")))</f>
      </c>
      <c r="P198" s="345">
        <f t="shared" si="125"/>
      </c>
      <c r="Q198" s="508"/>
      <c r="R198" s="346"/>
      <c r="S198" s="347"/>
      <c r="T198" s="348"/>
      <c r="U198" s="347"/>
      <c r="V198" s="348"/>
      <c r="W198" s="347"/>
      <c r="X198" s="348"/>
      <c r="Y198" s="347"/>
      <c r="Z198" s="348"/>
      <c r="AA198" s="340" t="e">
        <f t="shared" si="126"/>
        <v>#N/A</v>
      </c>
      <c r="AB198" s="339">
        <f aca="true" t="shared" si="140" ref="AB198:AB261">IF(OR(AK198="",AK198=0),"",O198)</f>
      </c>
      <c r="AC198" s="339">
        <f aca="true" t="shared" si="141" ref="AC198:AC261">IF(P198="要確認",P198,IF(OR(AK198="",AK198=0),"",P198*BD198))</f>
      </c>
      <c r="AD198" s="255">
        <f aca="true" t="shared" si="142" ref="AD198:AD261">IF(AND(AK198=1,AJ198&lt;&gt;1),IF(AH198=14,R198,(IF(AH198=15,U198-S198,(IF(AH198=16,W198-U198,IF(AH198=17,Y198-W198,"")))))),"")</f>
      </c>
      <c r="AE198" s="256">
        <f aca="true" t="shared" si="143" ref="AE198:AE261">IF(O198="要確認","",IF(OR(AK198="",AK198=0,AJ198=1),"",O198*AS198*AD198/1000))</f>
      </c>
      <c r="AF198" s="256">
        <f aca="true" t="shared" si="144" ref="AF198:AF261">IF(P198="要確認","",IF(OR(AK198="",AK198=0,AJ198=1),"",P198*BD198*AS198*AD198/1000))</f>
      </c>
      <c r="AG198" s="255">
        <f aca="true" t="shared" si="145" ref="AG198:AG261">IF(J198="","",IF(OR(T198="新規",T198="新規廃止"),14,IF(OR(V198="新規",V198="新規廃止"),15,IF(OR(X198="新規",X198="新規廃止"),16,IF(OR(Z198="新規",Z198="新規廃止"),17,13)))))</f>
      </c>
      <c r="AH198" s="255">
        <f t="shared" si="127"/>
      </c>
      <c r="AI198" s="255">
        <f aca="true" t="shared" si="146" ref="AI198:AI261">IF(J198="","",IF(OR(T198="廃止",T198="新規廃止"),14,IF(OR(V198="廃止",V198="新規廃止"),15,IF(OR(X198="廃止",X198="新規廃止"),16,IF(OR(Z198="廃止",Z198="新規廃止"),17,18)))))</f>
      </c>
      <c r="AJ198" s="255">
        <f aca="true" t="shared" si="147" ref="AJ198:AJ261">IF(OR(AND(AH198=14,AK198=1,OR(R198="",S198="")),AND(AH198=15,AK198=1,OR(U198="",S198&gt;U198)),AND(AH198=16,AK198=1,OR(W198="",U198&gt;W198)),AND(AH198=17,AK198=1,OR(Y198="",W198&gt;Y198))),1,"")</f>
      </c>
      <c r="AK198" s="255">
        <f t="shared" si="128"/>
      </c>
      <c r="AL198" s="255">
        <f t="shared" si="129"/>
      </c>
      <c r="AM198" s="120">
        <f ca="1" t="shared" si="120"/>
        <v>0</v>
      </c>
      <c r="AN198" s="120" t="e">
        <f t="shared" si="130"/>
        <v>#N/A</v>
      </c>
      <c r="AO198" s="120">
        <f>ROWS($AO$4:AO198)-1</f>
        <v>194</v>
      </c>
      <c r="AP198" s="255" t="e">
        <f t="shared" si="121"/>
        <v>#N/A</v>
      </c>
      <c r="AQ198" s="120" t="e">
        <f t="shared" si="131"/>
        <v>#N/A</v>
      </c>
      <c r="AR198" s="120" t="e">
        <f t="shared" si="117"/>
        <v>#N/A</v>
      </c>
      <c r="AS198" s="121">
        <f t="shared" si="122"/>
        <v>1</v>
      </c>
      <c r="AT198" s="120" t="str">
        <f t="shared" si="123"/>
        <v> </v>
      </c>
      <c r="AU198" s="120" t="str">
        <f t="shared" si="124"/>
        <v> </v>
      </c>
      <c r="AV198" s="120" t="e">
        <f t="shared" si="132"/>
        <v>#N/A</v>
      </c>
      <c r="AW198" s="120" t="e">
        <f t="shared" si="133"/>
        <v>#N/A</v>
      </c>
      <c r="AX198" s="120">
        <f t="shared" si="134"/>
      </c>
      <c r="AY198" s="120" t="e">
        <f t="shared" si="135"/>
        <v>#N/A</v>
      </c>
      <c r="AZ198" s="120" t="e">
        <f>VLOOKUP(AY198,'排出係数表'!$A$4:$C$202,2,FALSE)</f>
        <v>#N/A</v>
      </c>
      <c r="BA198" s="120" t="e">
        <f t="shared" si="136"/>
        <v>#N/A</v>
      </c>
      <c r="BB198" s="120" t="e">
        <f>VLOOKUP(AY198,'排出係数表'!$A$4:$C$202,3,FALSE)</f>
        <v>#N/A</v>
      </c>
      <c r="BC198" s="120" t="e">
        <f t="shared" si="137"/>
        <v>#N/A</v>
      </c>
      <c r="BD198" s="120">
        <f aca="true" t="shared" si="148" ref="BD198:BD261">IF(ISBLANK(N198),1,IF(RIGHT(LEFT($F$1,4),2)&gt;=LEFT(N198,2),(IF(ISERROR(VLOOKUP(AX198,$H$307:$I$327,2,FALSE)),0.7,VLOOKUP(AX198,$H$307:$I$327,2,FALSE))),1))</f>
        <v>1</v>
      </c>
      <c r="BE198" s="122">
        <f t="shared" si="138"/>
      </c>
      <c r="BF198" s="123" t="e">
        <f t="shared" si="119"/>
        <v>#VALUE!</v>
      </c>
      <c r="BG198" s="122">
        <f t="shared" si="107"/>
      </c>
      <c r="BH198" s="120" t="e">
        <f t="shared" si="108"/>
        <v>#VALUE!</v>
      </c>
      <c r="BI198" s="120" t="e">
        <f t="shared" si="109"/>
        <v>#VALUE!</v>
      </c>
      <c r="BJ198" s="122" t="e">
        <f>VLOOKUP(AY198,'排出係数表'!$A$4:$D$202,4)</f>
        <v>#N/A</v>
      </c>
      <c r="BK198" s="257">
        <f t="shared" si="116"/>
      </c>
    </row>
    <row r="199" spans="1:63" s="124" customFormat="1" ht="13.5" customHeight="1">
      <c r="A199" s="120"/>
      <c r="B199" s="120"/>
      <c r="C199" s="155"/>
      <c r="D199" s="155"/>
      <c r="E199" s="155"/>
      <c r="F199" s="155"/>
      <c r="G199" s="156"/>
      <c r="H199" s="157"/>
      <c r="I199" s="155"/>
      <c r="J199" s="155"/>
      <c r="K199" s="158"/>
      <c r="L199" s="159"/>
      <c r="M199" s="244"/>
      <c r="N199" s="155"/>
      <c r="O199" s="345">
        <f t="shared" si="139"/>
      </c>
      <c r="P199" s="345">
        <f t="shared" si="125"/>
      </c>
      <c r="Q199" s="508"/>
      <c r="R199" s="346"/>
      <c r="S199" s="347"/>
      <c r="T199" s="348"/>
      <c r="U199" s="347"/>
      <c r="V199" s="348"/>
      <c r="W199" s="347"/>
      <c r="X199" s="348"/>
      <c r="Y199" s="347"/>
      <c r="Z199" s="348"/>
      <c r="AA199" s="340" t="e">
        <f t="shared" si="126"/>
        <v>#N/A</v>
      </c>
      <c r="AB199" s="339">
        <f t="shared" si="140"/>
      </c>
      <c r="AC199" s="339">
        <f t="shared" si="141"/>
      </c>
      <c r="AD199" s="255">
        <f t="shared" si="142"/>
      </c>
      <c r="AE199" s="256">
        <f t="shared" si="143"/>
      </c>
      <c r="AF199" s="256">
        <f t="shared" si="144"/>
      </c>
      <c r="AG199" s="255">
        <f t="shared" si="145"/>
      </c>
      <c r="AH199" s="255">
        <f t="shared" si="127"/>
      </c>
      <c r="AI199" s="255">
        <f t="shared" si="146"/>
      </c>
      <c r="AJ199" s="255">
        <f t="shared" si="147"/>
      </c>
      <c r="AK199" s="255">
        <f t="shared" si="128"/>
      </c>
      <c r="AL199" s="255">
        <f t="shared" si="129"/>
      </c>
      <c r="AM199" s="120">
        <f ca="1" t="shared" si="120"/>
        <v>0</v>
      </c>
      <c r="AN199" s="120" t="e">
        <f t="shared" si="130"/>
        <v>#N/A</v>
      </c>
      <c r="AO199" s="120">
        <f>ROWS($AO$4:AO199)-1</f>
        <v>195</v>
      </c>
      <c r="AP199" s="255" t="e">
        <f t="shared" si="121"/>
        <v>#N/A</v>
      </c>
      <c r="AQ199" s="120" t="e">
        <f t="shared" si="131"/>
        <v>#N/A</v>
      </c>
      <c r="AR199" s="120" t="e">
        <f t="shared" si="117"/>
        <v>#N/A</v>
      </c>
      <c r="AS199" s="121">
        <f t="shared" si="122"/>
        <v>1</v>
      </c>
      <c r="AT199" s="120" t="str">
        <f t="shared" si="123"/>
        <v> </v>
      </c>
      <c r="AU199" s="120" t="str">
        <f t="shared" si="124"/>
        <v> </v>
      </c>
      <c r="AV199" s="120" t="e">
        <f t="shared" si="132"/>
        <v>#N/A</v>
      </c>
      <c r="AW199" s="120" t="e">
        <f t="shared" si="133"/>
        <v>#N/A</v>
      </c>
      <c r="AX199" s="120">
        <f t="shared" si="134"/>
      </c>
      <c r="AY199" s="120" t="e">
        <f t="shared" si="135"/>
        <v>#N/A</v>
      </c>
      <c r="AZ199" s="120" t="e">
        <f>VLOOKUP(AY199,'排出係数表'!$A$4:$C$202,2,FALSE)</f>
        <v>#N/A</v>
      </c>
      <c r="BA199" s="120" t="e">
        <f t="shared" si="136"/>
        <v>#N/A</v>
      </c>
      <c r="BB199" s="120" t="e">
        <f>VLOOKUP(AY199,'排出係数表'!$A$4:$C$202,3,FALSE)</f>
        <v>#N/A</v>
      </c>
      <c r="BC199" s="120" t="e">
        <f t="shared" si="137"/>
        <v>#N/A</v>
      </c>
      <c r="BD199" s="120">
        <f t="shared" si="148"/>
        <v>1</v>
      </c>
      <c r="BE199" s="122">
        <f t="shared" si="138"/>
      </c>
      <c r="BF199" s="123" t="e">
        <f t="shared" si="119"/>
        <v>#VALUE!</v>
      </c>
      <c r="BG199" s="122">
        <f t="shared" si="107"/>
      </c>
      <c r="BH199" s="120" t="e">
        <f t="shared" si="108"/>
        <v>#VALUE!</v>
      </c>
      <c r="BI199" s="120" t="e">
        <f t="shared" si="109"/>
        <v>#VALUE!</v>
      </c>
      <c r="BJ199" s="122" t="e">
        <f>VLOOKUP(AY199,'排出係数表'!$A$4:$D$202,4)</f>
        <v>#N/A</v>
      </c>
      <c r="BK199" s="257">
        <f t="shared" si="116"/>
      </c>
    </row>
    <row r="200" spans="1:63" s="124" customFormat="1" ht="13.5" customHeight="1">
      <c r="A200" s="120"/>
      <c r="B200" s="120"/>
      <c r="C200" s="155"/>
      <c r="D200" s="155"/>
      <c r="E200" s="155"/>
      <c r="F200" s="155"/>
      <c r="G200" s="156"/>
      <c r="H200" s="157"/>
      <c r="I200" s="155"/>
      <c r="J200" s="155"/>
      <c r="K200" s="158"/>
      <c r="L200" s="159"/>
      <c r="M200" s="244"/>
      <c r="N200" s="155"/>
      <c r="O200" s="345">
        <f t="shared" si="139"/>
      </c>
      <c r="P200" s="345">
        <f t="shared" si="125"/>
      </c>
      <c r="Q200" s="508"/>
      <c r="R200" s="346"/>
      <c r="S200" s="347"/>
      <c r="T200" s="348"/>
      <c r="U200" s="347"/>
      <c r="V200" s="348"/>
      <c r="W200" s="347"/>
      <c r="X200" s="348"/>
      <c r="Y200" s="347"/>
      <c r="Z200" s="348"/>
      <c r="AA200" s="340" t="e">
        <f t="shared" si="126"/>
        <v>#N/A</v>
      </c>
      <c r="AB200" s="339">
        <f t="shared" si="140"/>
      </c>
      <c r="AC200" s="339">
        <f t="shared" si="141"/>
      </c>
      <c r="AD200" s="255">
        <f t="shared" si="142"/>
      </c>
      <c r="AE200" s="256">
        <f t="shared" si="143"/>
      </c>
      <c r="AF200" s="256">
        <f t="shared" si="144"/>
      </c>
      <c r="AG200" s="255">
        <f t="shared" si="145"/>
      </c>
      <c r="AH200" s="255">
        <f t="shared" si="127"/>
      </c>
      <c r="AI200" s="255">
        <f t="shared" si="146"/>
      </c>
      <c r="AJ200" s="255">
        <f t="shared" si="147"/>
      </c>
      <c r="AK200" s="255">
        <f t="shared" si="128"/>
      </c>
      <c r="AL200" s="255">
        <f t="shared" si="129"/>
      </c>
      <c r="AM200" s="120">
        <f ca="1" t="shared" si="120"/>
        <v>0</v>
      </c>
      <c r="AN200" s="120" t="e">
        <f t="shared" si="130"/>
        <v>#N/A</v>
      </c>
      <c r="AO200" s="120">
        <f>ROWS($AO$4:AO200)-1</f>
        <v>196</v>
      </c>
      <c r="AP200" s="255" t="e">
        <f t="shared" si="121"/>
        <v>#N/A</v>
      </c>
      <c r="AQ200" s="120" t="e">
        <f t="shared" si="131"/>
        <v>#N/A</v>
      </c>
      <c r="AR200" s="120" t="e">
        <f t="shared" si="117"/>
        <v>#N/A</v>
      </c>
      <c r="AS200" s="121">
        <f t="shared" si="122"/>
        <v>1</v>
      </c>
      <c r="AT200" s="120" t="str">
        <f t="shared" si="123"/>
        <v> </v>
      </c>
      <c r="AU200" s="120" t="str">
        <f t="shared" si="124"/>
        <v> </v>
      </c>
      <c r="AV200" s="120" t="e">
        <f t="shared" si="132"/>
        <v>#N/A</v>
      </c>
      <c r="AW200" s="120" t="e">
        <f t="shared" si="133"/>
        <v>#N/A</v>
      </c>
      <c r="AX200" s="120">
        <f t="shared" si="134"/>
      </c>
      <c r="AY200" s="120" t="e">
        <f t="shared" si="135"/>
        <v>#N/A</v>
      </c>
      <c r="AZ200" s="120" t="e">
        <f>VLOOKUP(AY200,'排出係数表'!$A$4:$C$202,2,FALSE)</f>
        <v>#N/A</v>
      </c>
      <c r="BA200" s="120" t="e">
        <f t="shared" si="136"/>
        <v>#N/A</v>
      </c>
      <c r="BB200" s="120" t="e">
        <f>VLOOKUP(AY200,'排出係数表'!$A$4:$C$202,3,FALSE)</f>
        <v>#N/A</v>
      </c>
      <c r="BC200" s="120" t="e">
        <f t="shared" si="137"/>
        <v>#N/A</v>
      </c>
      <c r="BD200" s="120">
        <f t="shared" si="148"/>
        <v>1</v>
      </c>
      <c r="BE200" s="122">
        <f t="shared" si="138"/>
      </c>
      <c r="BF200" s="123" t="e">
        <f t="shared" si="119"/>
        <v>#VALUE!</v>
      </c>
      <c r="BG200" s="122">
        <f t="shared" si="107"/>
      </c>
      <c r="BH200" s="120" t="e">
        <f t="shared" si="108"/>
        <v>#VALUE!</v>
      </c>
      <c r="BI200" s="120" t="e">
        <f t="shared" si="109"/>
        <v>#VALUE!</v>
      </c>
      <c r="BJ200" s="122" t="e">
        <f>VLOOKUP(AY200,'排出係数表'!$A$4:$D$202,4)</f>
        <v>#N/A</v>
      </c>
      <c r="BK200" s="257">
        <f t="shared" si="116"/>
      </c>
    </row>
    <row r="201" spans="1:63" s="124" customFormat="1" ht="13.5" customHeight="1">
      <c r="A201" s="120"/>
      <c r="B201" s="120"/>
      <c r="C201" s="155"/>
      <c r="D201" s="155"/>
      <c r="E201" s="155"/>
      <c r="F201" s="155"/>
      <c r="G201" s="156"/>
      <c r="H201" s="157"/>
      <c r="I201" s="155"/>
      <c r="J201" s="155"/>
      <c r="K201" s="158"/>
      <c r="L201" s="159"/>
      <c r="M201" s="244"/>
      <c r="N201" s="155"/>
      <c r="O201" s="345">
        <f t="shared" si="139"/>
      </c>
      <c r="P201" s="345">
        <f t="shared" si="125"/>
      </c>
      <c r="Q201" s="508"/>
      <c r="R201" s="346"/>
      <c r="S201" s="347"/>
      <c r="T201" s="348"/>
      <c r="U201" s="347"/>
      <c r="V201" s="348"/>
      <c r="W201" s="347"/>
      <c r="X201" s="348"/>
      <c r="Y201" s="347"/>
      <c r="Z201" s="348"/>
      <c r="AA201" s="340" t="e">
        <f t="shared" si="126"/>
        <v>#N/A</v>
      </c>
      <c r="AB201" s="339">
        <f t="shared" si="140"/>
      </c>
      <c r="AC201" s="339">
        <f t="shared" si="141"/>
      </c>
      <c r="AD201" s="255">
        <f t="shared" si="142"/>
      </c>
      <c r="AE201" s="256">
        <f t="shared" si="143"/>
      </c>
      <c r="AF201" s="256">
        <f t="shared" si="144"/>
      </c>
      <c r="AG201" s="255">
        <f t="shared" si="145"/>
      </c>
      <c r="AH201" s="255">
        <f t="shared" si="127"/>
      </c>
      <c r="AI201" s="255">
        <f t="shared" si="146"/>
      </c>
      <c r="AJ201" s="255">
        <f t="shared" si="147"/>
      </c>
      <c r="AK201" s="255">
        <f t="shared" si="128"/>
      </c>
      <c r="AL201" s="255">
        <f t="shared" si="129"/>
      </c>
      <c r="AM201" s="120">
        <f ca="1" t="shared" si="120"/>
        <v>0</v>
      </c>
      <c r="AN201" s="120" t="e">
        <f t="shared" si="130"/>
        <v>#N/A</v>
      </c>
      <c r="AO201" s="120">
        <f>ROWS($AO$4:AO201)-1</f>
        <v>197</v>
      </c>
      <c r="AP201" s="255" t="e">
        <f t="shared" si="121"/>
        <v>#N/A</v>
      </c>
      <c r="AQ201" s="120" t="e">
        <f t="shared" si="131"/>
        <v>#N/A</v>
      </c>
      <c r="AR201" s="120" t="e">
        <f t="shared" si="117"/>
        <v>#N/A</v>
      </c>
      <c r="AS201" s="121">
        <f t="shared" si="122"/>
        <v>1</v>
      </c>
      <c r="AT201" s="120" t="str">
        <f t="shared" si="123"/>
        <v> </v>
      </c>
      <c r="AU201" s="120" t="str">
        <f t="shared" si="124"/>
        <v> </v>
      </c>
      <c r="AV201" s="120" t="e">
        <f t="shared" si="132"/>
        <v>#N/A</v>
      </c>
      <c r="AW201" s="120" t="e">
        <f t="shared" si="133"/>
        <v>#N/A</v>
      </c>
      <c r="AX201" s="120">
        <f t="shared" si="134"/>
      </c>
      <c r="AY201" s="120" t="e">
        <f t="shared" si="135"/>
        <v>#N/A</v>
      </c>
      <c r="AZ201" s="120" t="e">
        <f>VLOOKUP(AY201,'排出係数表'!$A$4:$C$202,2,FALSE)</f>
        <v>#N/A</v>
      </c>
      <c r="BA201" s="120" t="e">
        <f t="shared" si="136"/>
        <v>#N/A</v>
      </c>
      <c r="BB201" s="120" t="e">
        <f>VLOOKUP(AY201,'排出係数表'!$A$4:$C$202,3,FALSE)</f>
        <v>#N/A</v>
      </c>
      <c r="BC201" s="120" t="e">
        <f t="shared" si="137"/>
        <v>#N/A</v>
      </c>
      <c r="BD201" s="120">
        <f t="shared" si="148"/>
        <v>1</v>
      </c>
      <c r="BE201" s="122">
        <f t="shared" si="138"/>
      </c>
      <c r="BF201" s="123" t="e">
        <f t="shared" si="119"/>
        <v>#VALUE!</v>
      </c>
      <c r="BG201" s="122">
        <f t="shared" si="107"/>
      </c>
      <c r="BH201" s="120" t="e">
        <f t="shared" si="108"/>
        <v>#VALUE!</v>
      </c>
      <c r="BI201" s="120" t="e">
        <f t="shared" si="109"/>
        <v>#VALUE!</v>
      </c>
      <c r="BJ201" s="122" t="e">
        <f>VLOOKUP(AY201,'排出係数表'!$A$4:$D$202,4)</f>
        <v>#N/A</v>
      </c>
      <c r="BK201" s="257">
        <f t="shared" si="116"/>
      </c>
    </row>
    <row r="202" spans="1:63" s="124" customFormat="1" ht="13.5" customHeight="1">
      <c r="A202" s="120"/>
      <c r="B202" s="120"/>
      <c r="C202" s="155"/>
      <c r="D202" s="155"/>
      <c r="E202" s="155"/>
      <c r="F202" s="155"/>
      <c r="G202" s="156"/>
      <c r="H202" s="157"/>
      <c r="I202" s="155"/>
      <c r="J202" s="155"/>
      <c r="K202" s="158"/>
      <c r="L202" s="159"/>
      <c r="M202" s="244"/>
      <c r="N202" s="155"/>
      <c r="O202" s="345">
        <f t="shared" si="139"/>
      </c>
      <c r="P202" s="345">
        <f t="shared" si="125"/>
      </c>
      <c r="Q202" s="508"/>
      <c r="R202" s="346"/>
      <c r="S202" s="347"/>
      <c r="T202" s="348"/>
      <c r="U202" s="347"/>
      <c r="V202" s="348"/>
      <c r="W202" s="347"/>
      <c r="X202" s="348"/>
      <c r="Y202" s="347"/>
      <c r="Z202" s="348"/>
      <c r="AA202" s="340" t="e">
        <f t="shared" si="126"/>
        <v>#N/A</v>
      </c>
      <c r="AB202" s="339">
        <f t="shared" si="140"/>
      </c>
      <c r="AC202" s="339">
        <f t="shared" si="141"/>
      </c>
      <c r="AD202" s="255">
        <f t="shared" si="142"/>
      </c>
      <c r="AE202" s="256">
        <f t="shared" si="143"/>
      </c>
      <c r="AF202" s="256">
        <f t="shared" si="144"/>
      </c>
      <c r="AG202" s="255">
        <f t="shared" si="145"/>
      </c>
      <c r="AH202" s="255">
        <f t="shared" si="127"/>
      </c>
      <c r="AI202" s="255">
        <f t="shared" si="146"/>
      </c>
      <c r="AJ202" s="255">
        <f t="shared" si="147"/>
      </c>
      <c r="AK202" s="255">
        <f t="shared" si="128"/>
      </c>
      <c r="AL202" s="255">
        <f t="shared" si="129"/>
      </c>
      <c r="AM202" s="120">
        <f ca="1" t="shared" si="120"/>
        <v>0</v>
      </c>
      <c r="AN202" s="120" t="e">
        <f t="shared" si="130"/>
        <v>#N/A</v>
      </c>
      <c r="AO202" s="120">
        <f>ROWS($AO$4:AO202)-1</f>
        <v>198</v>
      </c>
      <c r="AP202" s="255" t="e">
        <f t="shared" si="121"/>
        <v>#N/A</v>
      </c>
      <c r="AQ202" s="120" t="e">
        <f t="shared" si="131"/>
        <v>#N/A</v>
      </c>
      <c r="AR202" s="120" t="e">
        <f t="shared" si="117"/>
        <v>#N/A</v>
      </c>
      <c r="AS202" s="121">
        <f t="shared" si="122"/>
        <v>1</v>
      </c>
      <c r="AT202" s="120" t="str">
        <f t="shared" si="123"/>
        <v> </v>
      </c>
      <c r="AU202" s="120" t="str">
        <f t="shared" si="124"/>
        <v> </v>
      </c>
      <c r="AV202" s="120" t="e">
        <f t="shared" si="132"/>
        <v>#N/A</v>
      </c>
      <c r="AW202" s="120" t="e">
        <f t="shared" si="133"/>
        <v>#N/A</v>
      </c>
      <c r="AX202" s="120">
        <f t="shared" si="134"/>
      </c>
      <c r="AY202" s="120" t="e">
        <f t="shared" si="135"/>
        <v>#N/A</v>
      </c>
      <c r="AZ202" s="120" t="e">
        <f>VLOOKUP(AY202,'排出係数表'!$A$4:$C$202,2,FALSE)</f>
        <v>#N/A</v>
      </c>
      <c r="BA202" s="120" t="e">
        <f t="shared" si="136"/>
        <v>#N/A</v>
      </c>
      <c r="BB202" s="120" t="e">
        <f>VLOOKUP(AY202,'排出係数表'!$A$4:$C$202,3,FALSE)</f>
        <v>#N/A</v>
      </c>
      <c r="BC202" s="120" t="e">
        <f t="shared" si="137"/>
        <v>#N/A</v>
      </c>
      <c r="BD202" s="120">
        <f t="shared" si="148"/>
        <v>1</v>
      </c>
      <c r="BE202" s="122">
        <f t="shared" si="138"/>
      </c>
      <c r="BF202" s="123" t="e">
        <f t="shared" si="119"/>
        <v>#VALUE!</v>
      </c>
      <c r="BG202" s="122">
        <f t="shared" si="107"/>
      </c>
      <c r="BH202" s="120" t="e">
        <f t="shared" si="108"/>
        <v>#VALUE!</v>
      </c>
      <c r="BI202" s="120" t="e">
        <f t="shared" si="109"/>
        <v>#VALUE!</v>
      </c>
      <c r="BJ202" s="122" t="e">
        <f>VLOOKUP(AY202,'排出係数表'!$A$4:$D$202,4)</f>
        <v>#N/A</v>
      </c>
      <c r="BK202" s="257">
        <f t="shared" si="116"/>
      </c>
    </row>
    <row r="203" spans="1:63" s="124" customFormat="1" ht="13.5" customHeight="1">
      <c r="A203" s="120"/>
      <c r="B203" s="120"/>
      <c r="C203" s="155"/>
      <c r="D203" s="155"/>
      <c r="E203" s="155"/>
      <c r="F203" s="155"/>
      <c r="G203" s="156"/>
      <c r="H203" s="157"/>
      <c r="I203" s="155"/>
      <c r="J203" s="155"/>
      <c r="K203" s="158"/>
      <c r="L203" s="159"/>
      <c r="M203" s="244"/>
      <c r="N203" s="155"/>
      <c r="O203" s="345">
        <f t="shared" si="139"/>
      </c>
      <c r="P203" s="345">
        <f t="shared" si="125"/>
      </c>
      <c r="Q203" s="508"/>
      <c r="R203" s="346"/>
      <c r="S203" s="347"/>
      <c r="T203" s="348"/>
      <c r="U203" s="347"/>
      <c r="V203" s="348"/>
      <c r="W203" s="347"/>
      <c r="X203" s="348"/>
      <c r="Y203" s="347"/>
      <c r="Z203" s="348"/>
      <c r="AA203" s="340" t="e">
        <f t="shared" si="126"/>
        <v>#N/A</v>
      </c>
      <c r="AB203" s="339">
        <f t="shared" si="140"/>
      </c>
      <c r="AC203" s="339">
        <f t="shared" si="141"/>
      </c>
      <c r="AD203" s="255">
        <f t="shared" si="142"/>
      </c>
      <c r="AE203" s="256">
        <f t="shared" si="143"/>
      </c>
      <c r="AF203" s="256">
        <f t="shared" si="144"/>
      </c>
      <c r="AG203" s="255">
        <f t="shared" si="145"/>
      </c>
      <c r="AH203" s="255">
        <f t="shared" si="127"/>
      </c>
      <c r="AI203" s="255">
        <f t="shared" si="146"/>
      </c>
      <c r="AJ203" s="255">
        <f t="shared" si="147"/>
      </c>
      <c r="AK203" s="255">
        <f t="shared" si="128"/>
      </c>
      <c r="AL203" s="255">
        <f t="shared" si="129"/>
      </c>
      <c r="AM203" s="120">
        <f ca="1" t="shared" si="120"/>
        <v>0</v>
      </c>
      <c r="AN203" s="120" t="e">
        <f t="shared" si="130"/>
        <v>#N/A</v>
      </c>
      <c r="AO203" s="120">
        <f>ROWS($AO$4:AO203)-1</f>
        <v>199</v>
      </c>
      <c r="AP203" s="255" t="e">
        <f t="shared" si="121"/>
        <v>#N/A</v>
      </c>
      <c r="AQ203" s="120" t="e">
        <f t="shared" si="131"/>
        <v>#N/A</v>
      </c>
      <c r="AR203" s="120" t="e">
        <f t="shared" si="117"/>
        <v>#N/A</v>
      </c>
      <c r="AS203" s="121">
        <f t="shared" si="122"/>
        <v>1</v>
      </c>
      <c r="AT203" s="120" t="str">
        <f t="shared" si="123"/>
        <v> </v>
      </c>
      <c r="AU203" s="120" t="str">
        <f t="shared" si="124"/>
        <v> </v>
      </c>
      <c r="AV203" s="120" t="e">
        <f t="shared" si="132"/>
        <v>#N/A</v>
      </c>
      <c r="AW203" s="120" t="e">
        <f t="shared" si="133"/>
        <v>#N/A</v>
      </c>
      <c r="AX203" s="120">
        <f t="shared" si="134"/>
      </c>
      <c r="AY203" s="120" t="e">
        <f t="shared" si="135"/>
        <v>#N/A</v>
      </c>
      <c r="AZ203" s="120" t="e">
        <f>VLOOKUP(AY203,'排出係数表'!$A$4:$C$202,2,FALSE)</f>
        <v>#N/A</v>
      </c>
      <c r="BA203" s="120" t="e">
        <f t="shared" si="136"/>
        <v>#N/A</v>
      </c>
      <c r="BB203" s="120" t="e">
        <f>VLOOKUP(AY203,'排出係数表'!$A$4:$C$202,3,FALSE)</f>
        <v>#N/A</v>
      </c>
      <c r="BC203" s="120" t="e">
        <f t="shared" si="137"/>
        <v>#N/A</v>
      </c>
      <c r="BD203" s="120">
        <f t="shared" si="148"/>
        <v>1</v>
      </c>
      <c r="BE203" s="122">
        <f t="shared" si="138"/>
      </c>
      <c r="BF203" s="123" t="e">
        <f t="shared" si="119"/>
        <v>#VALUE!</v>
      </c>
      <c r="BG203" s="122">
        <f t="shared" si="107"/>
      </c>
      <c r="BH203" s="120" t="e">
        <f t="shared" si="108"/>
        <v>#VALUE!</v>
      </c>
      <c r="BI203" s="120" t="e">
        <f t="shared" si="109"/>
        <v>#VALUE!</v>
      </c>
      <c r="BJ203" s="122" t="e">
        <f>VLOOKUP(AY203,'排出係数表'!$A$4:$D$202,4)</f>
        <v>#N/A</v>
      </c>
      <c r="BK203" s="257">
        <f t="shared" si="116"/>
      </c>
    </row>
    <row r="204" spans="1:63" s="124" customFormat="1" ht="13.5" customHeight="1">
      <c r="A204" s="120"/>
      <c r="B204" s="120"/>
      <c r="C204" s="155"/>
      <c r="D204" s="155"/>
      <c r="E204" s="155"/>
      <c r="F204" s="155"/>
      <c r="G204" s="156"/>
      <c r="H204" s="157"/>
      <c r="I204" s="155"/>
      <c r="J204" s="155"/>
      <c r="K204" s="158"/>
      <c r="L204" s="159"/>
      <c r="M204" s="244"/>
      <c r="N204" s="155"/>
      <c r="O204" s="345">
        <f t="shared" si="139"/>
      </c>
      <c r="P204" s="345">
        <f t="shared" si="125"/>
      </c>
      <c r="Q204" s="508"/>
      <c r="R204" s="346"/>
      <c r="S204" s="347"/>
      <c r="T204" s="348"/>
      <c r="U204" s="347"/>
      <c r="V204" s="348"/>
      <c r="W204" s="347"/>
      <c r="X204" s="348"/>
      <c r="Y204" s="347"/>
      <c r="Z204" s="348"/>
      <c r="AA204" s="340" t="e">
        <f t="shared" si="126"/>
        <v>#N/A</v>
      </c>
      <c r="AB204" s="339">
        <f t="shared" si="140"/>
      </c>
      <c r="AC204" s="339">
        <f t="shared" si="141"/>
      </c>
      <c r="AD204" s="255">
        <f t="shared" si="142"/>
      </c>
      <c r="AE204" s="256">
        <f t="shared" si="143"/>
      </c>
      <c r="AF204" s="256">
        <f t="shared" si="144"/>
      </c>
      <c r="AG204" s="255">
        <f t="shared" si="145"/>
      </c>
      <c r="AH204" s="255">
        <f t="shared" si="127"/>
      </c>
      <c r="AI204" s="255">
        <f t="shared" si="146"/>
      </c>
      <c r="AJ204" s="255">
        <f t="shared" si="147"/>
      </c>
      <c r="AK204" s="255">
        <f t="shared" si="128"/>
      </c>
      <c r="AL204" s="255">
        <f t="shared" si="129"/>
      </c>
      <c r="AM204" s="120">
        <f ca="1" t="shared" si="120"/>
        <v>0</v>
      </c>
      <c r="AN204" s="120" t="e">
        <f t="shared" si="130"/>
        <v>#N/A</v>
      </c>
      <c r="AO204" s="120">
        <f>ROWS($AO$4:AO204)-1</f>
        <v>200</v>
      </c>
      <c r="AP204" s="255" t="e">
        <f t="shared" si="121"/>
        <v>#N/A</v>
      </c>
      <c r="AQ204" s="120" t="e">
        <f t="shared" si="131"/>
        <v>#N/A</v>
      </c>
      <c r="AR204" s="120" t="e">
        <f t="shared" si="117"/>
        <v>#N/A</v>
      </c>
      <c r="AS204" s="121">
        <f t="shared" si="122"/>
        <v>1</v>
      </c>
      <c r="AT204" s="120" t="str">
        <f t="shared" si="123"/>
        <v> </v>
      </c>
      <c r="AU204" s="120" t="str">
        <f t="shared" si="124"/>
        <v> </v>
      </c>
      <c r="AV204" s="120" t="e">
        <f t="shared" si="132"/>
        <v>#N/A</v>
      </c>
      <c r="AW204" s="120" t="e">
        <f t="shared" si="133"/>
        <v>#N/A</v>
      </c>
      <c r="AX204" s="120">
        <f t="shared" si="134"/>
      </c>
      <c r="AY204" s="120" t="e">
        <f t="shared" si="135"/>
        <v>#N/A</v>
      </c>
      <c r="AZ204" s="120" t="e">
        <f>VLOOKUP(AY204,'排出係数表'!$A$4:$C$202,2,FALSE)</f>
        <v>#N/A</v>
      </c>
      <c r="BA204" s="120" t="e">
        <f t="shared" si="136"/>
        <v>#N/A</v>
      </c>
      <c r="BB204" s="120" t="e">
        <f>VLOOKUP(AY204,'排出係数表'!$A$4:$C$202,3,FALSE)</f>
        <v>#N/A</v>
      </c>
      <c r="BC204" s="120" t="e">
        <f t="shared" si="137"/>
        <v>#N/A</v>
      </c>
      <c r="BD204" s="120">
        <f t="shared" si="148"/>
        <v>1</v>
      </c>
      <c r="BE204" s="122">
        <f t="shared" si="138"/>
      </c>
      <c r="BF204" s="123" t="e">
        <f t="shared" si="119"/>
        <v>#VALUE!</v>
      </c>
      <c r="BG204" s="122">
        <f t="shared" si="107"/>
      </c>
      <c r="BH204" s="120" t="e">
        <f t="shared" si="108"/>
        <v>#VALUE!</v>
      </c>
      <c r="BI204" s="120" t="e">
        <f t="shared" si="109"/>
        <v>#VALUE!</v>
      </c>
      <c r="BJ204" s="122" t="e">
        <f>VLOOKUP(AY204,'排出係数表'!$A$4:$D$202,4)</f>
        <v>#N/A</v>
      </c>
      <c r="BK204" s="257">
        <f t="shared" si="116"/>
      </c>
    </row>
    <row r="205" spans="1:63" s="124" customFormat="1" ht="13.5" customHeight="1">
      <c r="A205" s="120"/>
      <c r="B205" s="120"/>
      <c r="C205" s="155"/>
      <c r="D205" s="155"/>
      <c r="E205" s="155"/>
      <c r="F205" s="155"/>
      <c r="G205" s="156"/>
      <c r="H205" s="157"/>
      <c r="I205" s="155"/>
      <c r="J205" s="155"/>
      <c r="K205" s="158"/>
      <c r="L205" s="159"/>
      <c r="M205" s="244"/>
      <c r="N205" s="155"/>
      <c r="O205" s="345">
        <f t="shared" si="139"/>
      </c>
      <c r="P205" s="345">
        <f t="shared" si="125"/>
      </c>
      <c r="Q205" s="508"/>
      <c r="R205" s="346"/>
      <c r="S205" s="347"/>
      <c r="T205" s="348"/>
      <c r="U205" s="347"/>
      <c r="V205" s="348"/>
      <c r="W205" s="347"/>
      <c r="X205" s="348"/>
      <c r="Y205" s="347"/>
      <c r="Z205" s="348"/>
      <c r="AA205" s="340" t="e">
        <f t="shared" si="126"/>
        <v>#N/A</v>
      </c>
      <c r="AB205" s="339">
        <f t="shared" si="140"/>
      </c>
      <c r="AC205" s="339">
        <f t="shared" si="141"/>
      </c>
      <c r="AD205" s="255">
        <f t="shared" si="142"/>
      </c>
      <c r="AE205" s="256">
        <f t="shared" si="143"/>
      </c>
      <c r="AF205" s="256">
        <f t="shared" si="144"/>
      </c>
      <c r="AG205" s="255">
        <f t="shared" si="145"/>
      </c>
      <c r="AH205" s="255">
        <f t="shared" si="127"/>
      </c>
      <c r="AI205" s="255">
        <f t="shared" si="146"/>
      </c>
      <c r="AJ205" s="255">
        <f t="shared" si="147"/>
      </c>
      <c r="AK205" s="255">
        <f t="shared" si="128"/>
      </c>
      <c r="AL205" s="255">
        <f t="shared" si="129"/>
      </c>
      <c r="AM205" s="120">
        <f ca="1" t="shared" si="120"/>
        <v>0</v>
      </c>
      <c r="AN205" s="120" t="e">
        <f t="shared" si="130"/>
        <v>#N/A</v>
      </c>
      <c r="AO205" s="120">
        <f>ROWS($AO$4:AO205)-1</f>
        <v>201</v>
      </c>
      <c r="AP205" s="255" t="e">
        <f t="shared" si="121"/>
        <v>#N/A</v>
      </c>
      <c r="AQ205" s="120" t="e">
        <f t="shared" si="131"/>
        <v>#N/A</v>
      </c>
      <c r="AR205" s="120" t="e">
        <f t="shared" si="117"/>
        <v>#N/A</v>
      </c>
      <c r="AS205" s="121">
        <f t="shared" si="122"/>
        <v>1</v>
      </c>
      <c r="AT205" s="120" t="str">
        <f t="shared" si="123"/>
        <v> </v>
      </c>
      <c r="AU205" s="120" t="str">
        <f t="shared" si="124"/>
        <v> </v>
      </c>
      <c r="AV205" s="120" t="e">
        <f t="shared" si="132"/>
        <v>#N/A</v>
      </c>
      <c r="AW205" s="120" t="e">
        <f t="shared" si="133"/>
        <v>#N/A</v>
      </c>
      <c r="AX205" s="120">
        <f t="shared" si="134"/>
      </c>
      <c r="AY205" s="120" t="e">
        <f t="shared" si="135"/>
        <v>#N/A</v>
      </c>
      <c r="AZ205" s="120" t="e">
        <f>VLOOKUP(AY205,'排出係数表'!$A$4:$C$202,2,FALSE)</f>
        <v>#N/A</v>
      </c>
      <c r="BA205" s="120" t="e">
        <f t="shared" si="136"/>
        <v>#N/A</v>
      </c>
      <c r="BB205" s="120" t="e">
        <f>VLOOKUP(AY205,'排出係数表'!$A$4:$C$202,3,FALSE)</f>
        <v>#N/A</v>
      </c>
      <c r="BC205" s="120" t="e">
        <f t="shared" si="137"/>
        <v>#N/A</v>
      </c>
      <c r="BD205" s="120">
        <f t="shared" si="148"/>
        <v>1</v>
      </c>
      <c r="BE205" s="122">
        <f t="shared" si="138"/>
      </c>
      <c r="BF205" s="123" t="e">
        <f t="shared" si="119"/>
        <v>#VALUE!</v>
      </c>
      <c r="BG205" s="122">
        <f t="shared" si="107"/>
      </c>
      <c r="BH205" s="120" t="e">
        <f t="shared" si="108"/>
        <v>#VALUE!</v>
      </c>
      <c r="BI205" s="120" t="e">
        <f t="shared" si="109"/>
        <v>#VALUE!</v>
      </c>
      <c r="BJ205" s="122" t="e">
        <f>VLOOKUP(AY205,'排出係数表'!$A$4:$D$202,4)</f>
        <v>#N/A</v>
      </c>
      <c r="BK205" s="257">
        <f t="shared" si="116"/>
      </c>
    </row>
    <row r="206" spans="1:63" s="124" customFormat="1" ht="13.5" customHeight="1">
      <c r="A206" s="120"/>
      <c r="B206" s="120"/>
      <c r="C206" s="155"/>
      <c r="D206" s="155"/>
      <c r="E206" s="155"/>
      <c r="F206" s="155"/>
      <c r="G206" s="156"/>
      <c r="H206" s="157"/>
      <c r="I206" s="155"/>
      <c r="J206" s="155"/>
      <c r="K206" s="158"/>
      <c r="L206" s="159"/>
      <c r="M206" s="244"/>
      <c r="N206" s="155"/>
      <c r="O206" s="345">
        <f t="shared" si="139"/>
      </c>
      <c r="P206" s="345">
        <f t="shared" si="125"/>
      </c>
      <c r="Q206" s="508"/>
      <c r="R206" s="346"/>
      <c r="S206" s="347"/>
      <c r="T206" s="348"/>
      <c r="U206" s="347"/>
      <c r="V206" s="348"/>
      <c r="W206" s="347"/>
      <c r="X206" s="348"/>
      <c r="Y206" s="347"/>
      <c r="Z206" s="348"/>
      <c r="AA206" s="340" t="e">
        <f t="shared" si="126"/>
        <v>#N/A</v>
      </c>
      <c r="AB206" s="339">
        <f t="shared" si="140"/>
      </c>
      <c r="AC206" s="339">
        <f t="shared" si="141"/>
      </c>
      <c r="AD206" s="255">
        <f t="shared" si="142"/>
      </c>
      <c r="AE206" s="256">
        <f t="shared" si="143"/>
      </c>
      <c r="AF206" s="256">
        <f t="shared" si="144"/>
      </c>
      <c r="AG206" s="255">
        <f t="shared" si="145"/>
      </c>
      <c r="AH206" s="255">
        <f t="shared" si="127"/>
      </c>
      <c r="AI206" s="255">
        <f t="shared" si="146"/>
      </c>
      <c r="AJ206" s="255">
        <f t="shared" si="147"/>
      </c>
      <c r="AK206" s="255">
        <f t="shared" si="128"/>
      </c>
      <c r="AL206" s="255">
        <f t="shared" si="129"/>
      </c>
      <c r="AM206" s="120">
        <f ca="1" t="shared" si="120"/>
        <v>0</v>
      </c>
      <c r="AN206" s="120" t="e">
        <f t="shared" si="130"/>
        <v>#N/A</v>
      </c>
      <c r="AO206" s="120">
        <f>ROWS($AO$4:AO206)-1</f>
        <v>202</v>
      </c>
      <c r="AP206" s="255" t="e">
        <f t="shared" si="121"/>
        <v>#N/A</v>
      </c>
      <c r="AQ206" s="120" t="e">
        <f t="shared" si="131"/>
        <v>#N/A</v>
      </c>
      <c r="AR206" s="120" t="e">
        <f t="shared" si="117"/>
        <v>#N/A</v>
      </c>
      <c r="AS206" s="121">
        <f t="shared" si="122"/>
        <v>1</v>
      </c>
      <c r="AT206" s="120" t="str">
        <f t="shared" si="123"/>
        <v> </v>
      </c>
      <c r="AU206" s="120" t="str">
        <f t="shared" si="124"/>
        <v> </v>
      </c>
      <c r="AV206" s="120" t="e">
        <f t="shared" si="132"/>
        <v>#N/A</v>
      </c>
      <c r="AW206" s="120" t="e">
        <f t="shared" si="133"/>
        <v>#N/A</v>
      </c>
      <c r="AX206" s="120">
        <f t="shared" si="134"/>
      </c>
      <c r="AY206" s="120" t="e">
        <f t="shared" si="135"/>
        <v>#N/A</v>
      </c>
      <c r="AZ206" s="120" t="e">
        <f>VLOOKUP(AY206,'排出係数表'!$A$4:$C$202,2,FALSE)</f>
        <v>#N/A</v>
      </c>
      <c r="BA206" s="120" t="e">
        <f t="shared" si="136"/>
        <v>#N/A</v>
      </c>
      <c r="BB206" s="120" t="e">
        <f>VLOOKUP(AY206,'排出係数表'!$A$4:$C$202,3,FALSE)</f>
        <v>#N/A</v>
      </c>
      <c r="BC206" s="120" t="e">
        <f t="shared" si="137"/>
        <v>#N/A</v>
      </c>
      <c r="BD206" s="120">
        <f t="shared" si="148"/>
        <v>1</v>
      </c>
      <c r="BE206" s="122">
        <f t="shared" si="138"/>
      </c>
      <c r="BF206" s="123" t="e">
        <f t="shared" si="119"/>
        <v>#VALUE!</v>
      </c>
      <c r="BG206" s="122">
        <f t="shared" si="107"/>
      </c>
      <c r="BH206" s="120" t="e">
        <f t="shared" si="108"/>
        <v>#VALUE!</v>
      </c>
      <c r="BI206" s="120" t="e">
        <f t="shared" si="109"/>
        <v>#VALUE!</v>
      </c>
      <c r="BJ206" s="122" t="e">
        <f>VLOOKUP(AY206,'排出係数表'!$A$4:$D$202,4)</f>
        <v>#N/A</v>
      </c>
      <c r="BK206" s="257">
        <f t="shared" si="116"/>
      </c>
    </row>
    <row r="207" spans="1:63" s="124" customFormat="1" ht="13.5" customHeight="1">
      <c r="A207" s="120"/>
      <c r="B207" s="120"/>
      <c r="C207" s="155"/>
      <c r="D207" s="155"/>
      <c r="E207" s="155"/>
      <c r="F207" s="155"/>
      <c r="G207" s="156"/>
      <c r="H207" s="157"/>
      <c r="I207" s="155"/>
      <c r="J207" s="155"/>
      <c r="K207" s="158"/>
      <c r="L207" s="159"/>
      <c r="M207" s="244"/>
      <c r="N207" s="155"/>
      <c r="O207" s="345">
        <f t="shared" si="139"/>
      </c>
      <c r="P207" s="345">
        <f t="shared" si="125"/>
      </c>
      <c r="Q207" s="508"/>
      <c r="R207" s="346"/>
      <c r="S207" s="347"/>
      <c r="T207" s="348"/>
      <c r="U207" s="347"/>
      <c r="V207" s="348"/>
      <c r="W207" s="347"/>
      <c r="X207" s="348"/>
      <c r="Y207" s="347"/>
      <c r="Z207" s="348"/>
      <c r="AA207" s="340" t="e">
        <f t="shared" si="126"/>
        <v>#N/A</v>
      </c>
      <c r="AB207" s="339">
        <f t="shared" si="140"/>
      </c>
      <c r="AC207" s="339">
        <f t="shared" si="141"/>
      </c>
      <c r="AD207" s="255">
        <f t="shared" si="142"/>
      </c>
      <c r="AE207" s="256">
        <f t="shared" si="143"/>
      </c>
      <c r="AF207" s="256">
        <f t="shared" si="144"/>
      </c>
      <c r="AG207" s="255">
        <f t="shared" si="145"/>
      </c>
      <c r="AH207" s="255">
        <f t="shared" si="127"/>
      </c>
      <c r="AI207" s="255">
        <f t="shared" si="146"/>
      </c>
      <c r="AJ207" s="255">
        <f t="shared" si="147"/>
      </c>
      <c r="AK207" s="255">
        <f t="shared" si="128"/>
      </c>
      <c r="AL207" s="255">
        <f t="shared" si="129"/>
      </c>
      <c r="AM207" s="120">
        <f ca="1" t="shared" si="120"/>
        <v>0</v>
      </c>
      <c r="AN207" s="120" t="e">
        <f t="shared" si="130"/>
        <v>#N/A</v>
      </c>
      <c r="AO207" s="120">
        <f>ROWS($AO$4:AO207)-1</f>
        <v>203</v>
      </c>
      <c r="AP207" s="255" t="e">
        <f t="shared" si="121"/>
        <v>#N/A</v>
      </c>
      <c r="AQ207" s="120" t="e">
        <f t="shared" si="131"/>
        <v>#N/A</v>
      </c>
      <c r="AR207" s="120" t="e">
        <f t="shared" si="117"/>
        <v>#N/A</v>
      </c>
      <c r="AS207" s="121">
        <f t="shared" si="122"/>
        <v>1</v>
      </c>
      <c r="AT207" s="120" t="str">
        <f t="shared" si="123"/>
        <v> </v>
      </c>
      <c r="AU207" s="120" t="str">
        <f t="shared" si="124"/>
        <v> </v>
      </c>
      <c r="AV207" s="120" t="e">
        <f t="shared" si="132"/>
        <v>#N/A</v>
      </c>
      <c r="AW207" s="120" t="e">
        <f t="shared" si="133"/>
        <v>#N/A</v>
      </c>
      <c r="AX207" s="120">
        <f t="shared" si="134"/>
      </c>
      <c r="AY207" s="120" t="e">
        <f t="shared" si="135"/>
        <v>#N/A</v>
      </c>
      <c r="AZ207" s="120" t="e">
        <f>VLOOKUP(AY207,'排出係数表'!$A$4:$C$202,2,FALSE)</f>
        <v>#N/A</v>
      </c>
      <c r="BA207" s="120" t="e">
        <f t="shared" si="136"/>
        <v>#N/A</v>
      </c>
      <c r="BB207" s="120" t="e">
        <f>VLOOKUP(AY207,'排出係数表'!$A$4:$C$202,3,FALSE)</f>
        <v>#N/A</v>
      </c>
      <c r="BC207" s="120" t="e">
        <f t="shared" si="137"/>
        <v>#N/A</v>
      </c>
      <c r="BD207" s="120">
        <f t="shared" si="148"/>
        <v>1</v>
      </c>
      <c r="BE207" s="122">
        <f t="shared" si="138"/>
      </c>
      <c r="BF207" s="123" t="e">
        <f t="shared" si="119"/>
        <v>#VALUE!</v>
      </c>
      <c r="BG207" s="122">
        <f t="shared" si="107"/>
      </c>
      <c r="BH207" s="120" t="e">
        <f t="shared" si="108"/>
        <v>#VALUE!</v>
      </c>
      <c r="BI207" s="120" t="e">
        <f t="shared" si="109"/>
        <v>#VALUE!</v>
      </c>
      <c r="BJ207" s="122" t="e">
        <f>VLOOKUP(AY207,'排出係数表'!$A$4:$D$202,4)</f>
        <v>#N/A</v>
      </c>
      <c r="BK207" s="257">
        <f t="shared" si="116"/>
      </c>
    </row>
    <row r="208" spans="1:63" s="124" customFormat="1" ht="13.5" customHeight="1">
      <c r="A208" s="120"/>
      <c r="B208" s="120"/>
      <c r="C208" s="155"/>
      <c r="D208" s="155"/>
      <c r="E208" s="155"/>
      <c r="F208" s="155"/>
      <c r="G208" s="156"/>
      <c r="H208" s="157"/>
      <c r="I208" s="155"/>
      <c r="J208" s="155"/>
      <c r="K208" s="158"/>
      <c r="L208" s="159"/>
      <c r="M208" s="244"/>
      <c r="N208" s="155"/>
      <c r="O208" s="345">
        <f t="shared" si="139"/>
      </c>
      <c r="P208" s="345">
        <f t="shared" si="125"/>
      </c>
      <c r="Q208" s="508"/>
      <c r="R208" s="346"/>
      <c r="S208" s="347"/>
      <c r="T208" s="348"/>
      <c r="U208" s="347"/>
      <c r="V208" s="348"/>
      <c r="W208" s="347"/>
      <c r="X208" s="348"/>
      <c r="Y208" s="347"/>
      <c r="Z208" s="348"/>
      <c r="AA208" s="340" t="e">
        <f t="shared" si="126"/>
        <v>#N/A</v>
      </c>
      <c r="AB208" s="339">
        <f t="shared" si="140"/>
      </c>
      <c r="AC208" s="339">
        <f t="shared" si="141"/>
      </c>
      <c r="AD208" s="255">
        <f t="shared" si="142"/>
      </c>
      <c r="AE208" s="256">
        <f t="shared" si="143"/>
      </c>
      <c r="AF208" s="256">
        <f t="shared" si="144"/>
      </c>
      <c r="AG208" s="255">
        <f t="shared" si="145"/>
      </c>
      <c r="AH208" s="255">
        <f t="shared" si="127"/>
      </c>
      <c r="AI208" s="255">
        <f t="shared" si="146"/>
      </c>
      <c r="AJ208" s="255">
        <f t="shared" si="147"/>
      </c>
      <c r="AK208" s="255">
        <f t="shared" si="128"/>
      </c>
      <c r="AL208" s="255">
        <f t="shared" si="129"/>
      </c>
      <c r="AM208" s="120">
        <f ca="1" t="shared" si="120"/>
        <v>0</v>
      </c>
      <c r="AN208" s="120" t="e">
        <f t="shared" si="130"/>
        <v>#N/A</v>
      </c>
      <c r="AO208" s="120">
        <f>ROWS($AO$4:AO208)-1</f>
        <v>204</v>
      </c>
      <c r="AP208" s="255" t="e">
        <f t="shared" si="121"/>
        <v>#N/A</v>
      </c>
      <c r="AQ208" s="120" t="e">
        <f t="shared" si="131"/>
        <v>#N/A</v>
      </c>
      <c r="AR208" s="120" t="e">
        <f t="shared" si="117"/>
        <v>#N/A</v>
      </c>
      <c r="AS208" s="121">
        <f t="shared" si="122"/>
        <v>1</v>
      </c>
      <c r="AT208" s="120" t="str">
        <f t="shared" si="123"/>
        <v> </v>
      </c>
      <c r="AU208" s="120" t="str">
        <f t="shared" si="124"/>
        <v> </v>
      </c>
      <c r="AV208" s="120" t="e">
        <f t="shared" si="132"/>
        <v>#N/A</v>
      </c>
      <c r="AW208" s="120" t="e">
        <f t="shared" si="133"/>
        <v>#N/A</v>
      </c>
      <c r="AX208" s="120">
        <f t="shared" si="134"/>
      </c>
      <c r="AY208" s="120" t="e">
        <f t="shared" si="135"/>
        <v>#N/A</v>
      </c>
      <c r="AZ208" s="120" t="e">
        <f>VLOOKUP(AY208,'排出係数表'!$A$4:$C$202,2,FALSE)</f>
        <v>#N/A</v>
      </c>
      <c r="BA208" s="120" t="e">
        <f t="shared" si="136"/>
        <v>#N/A</v>
      </c>
      <c r="BB208" s="120" t="e">
        <f>VLOOKUP(AY208,'排出係数表'!$A$4:$C$202,3,FALSE)</f>
        <v>#N/A</v>
      </c>
      <c r="BC208" s="120" t="e">
        <f t="shared" si="137"/>
        <v>#N/A</v>
      </c>
      <c r="BD208" s="120">
        <f t="shared" si="148"/>
        <v>1</v>
      </c>
      <c r="BE208" s="122">
        <f t="shared" si="138"/>
      </c>
      <c r="BF208" s="123" t="e">
        <f t="shared" si="119"/>
        <v>#VALUE!</v>
      </c>
      <c r="BG208" s="122">
        <f t="shared" si="107"/>
      </c>
      <c r="BH208" s="120" t="e">
        <f t="shared" si="108"/>
        <v>#VALUE!</v>
      </c>
      <c r="BI208" s="120" t="e">
        <f t="shared" si="109"/>
        <v>#VALUE!</v>
      </c>
      <c r="BJ208" s="122" t="e">
        <f>VLOOKUP(AY208,'排出係数表'!$A$4:$D$202,4)</f>
        <v>#N/A</v>
      </c>
      <c r="BK208" s="257">
        <f t="shared" si="116"/>
      </c>
    </row>
    <row r="209" spans="1:63" s="124" customFormat="1" ht="13.5" customHeight="1">
      <c r="A209" s="120"/>
      <c r="B209" s="120"/>
      <c r="C209" s="155"/>
      <c r="D209" s="155"/>
      <c r="E209" s="155"/>
      <c r="F209" s="155"/>
      <c r="G209" s="156"/>
      <c r="H209" s="157"/>
      <c r="I209" s="155"/>
      <c r="J209" s="155"/>
      <c r="K209" s="158"/>
      <c r="L209" s="159"/>
      <c r="M209" s="244"/>
      <c r="N209" s="155"/>
      <c r="O209" s="345">
        <f t="shared" si="139"/>
      </c>
      <c r="P209" s="345">
        <f t="shared" si="125"/>
      </c>
      <c r="Q209" s="508"/>
      <c r="R209" s="346"/>
      <c r="S209" s="347"/>
      <c r="T209" s="348"/>
      <c r="U209" s="347"/>
      <c r="V209" s="348"/>
      <c r="W209" s="347"/>
      <c r="X209" s="348"/>
      <c r="Y209" s="347"/>
      <c r="Z209" s="348"/>
      <c r="AA209" s="340" t="e">
        <f t="shared" si="126"/>
        <v>#N/A</v>
      </c>
      <c r="AB209" s="339">
        <f t="shared" si="140"/>
      </c>
      <c r="AC209" s="339">
        <f t="shared" si="141"/>
      </c>
      <c r="AD209" s="255">
        <f t="shared" si="142"/>
      </c>
      <c r="AE209" s="256">
        <f t="shared" si="143"/>
      </c>
      <c r="AF209" s="256">
        <f t="shared" si="144"/>
      </c>
      <c r="AG209" s="255">
        <f t="shared" si="145"/>
      </c>
      <c r="AH209" s="255">
        <f t="shared" si="127"/>
      </c>
      <c r="AI209" s="255">
        <f t="shared" si="146"/>
      </c>
      <c r="AJ209" s="255">
        <f t="shared" si="147"/>
      </c>
      <c r="AK209" s="255">
        <f t="shared" si="128"/>
      </c>
      <c r="AL209" s="255">
        <f t="shared" si="129"/>
      </c>
      <c r="AM209" s="120">
        <f ca="1" t="shared" si="120"/>
        <v>0</v>
      </c>
      <c r="AN209" s="120" t="e">
        <f t="shared" si="130"/>
        <v>#N/A</v>
      </c>
      <c r="AO209" s="120">
        <f>ROWS($AO$4:AO209)-1</f>
        <v>205</v>
      </c>
      <c r="AP209" s="255" t="e">
        <f t="shared" si="121"/>
        <v>#N/A</v>
      </c>
      <c r="AQ209" s="120" t="e">
        <f t="shared" si="131"/>
        <v>#N/A</v>
      </c>
      <c r="AR209" s="120" t="e">
        <f t="shared" si="117"/>
        <v>#N/A</v>
      </c>
      <c r="AS209" s="121">
        <f t="shared" si="122"/>
        <v>1</v>
      </c>
      <c r="AT209" s="120" t="str">
        <f t="shared" si="123"/>
        <v> </v>
      </c>
      <c r="AU209" s="120" t="str">
        <f t="shared" si="124"/>
        <v> </v>
      </c>
      <c r="AV209" s="120" t="e">
        <f t="shared" si="132"/>
        <v>#N/A</v>
      </c>
      <c r="AW209" s="120" t="e">
        <f t="shared" si="133"/>
        <v>#N/A</v>
      </c>
      <c r="AX209" s="120">
        <f t="shared" si="134"/>
      </c>
      <c r="AY209" s="120" t="e">
        <f t="shared" si="135"/>
        <v>#N/A</v>
      </c>
      <c r="AZ209" s="120" t="e">
        <f>VLOOKUP(AY209,'排出係数表'!$A$4:$C$202,2,FALSE)</f>
        <v>#N/A</v>
      </c>
      <c r="BA209" s="120" t="e">
        <f t="shared" si="136"/>
        <v>#N/A</v>
      </c>
      <c r="BB209" s="120" t="e">
        <f>VLOOKUP(AY209,'排出係数表'!$A$4:$C$202,3,FALSE)</f>
        <v>#N/A</v>
      </c>
      <c r="BC209" s="120" t="e">
        <f t="shared" si="137"/>
        <v>#N/A</v>
      </c>
      <c r="BD209" s="120">
        <f t="shared" si="148"/>
        <v>1</v>
      </c>
      <c r="BE209" s="122">
        <f t="shared" si="138"/>
      </c>
      <c r="BF209" s="123" t="e">
        <f t="shared" si="119"/>
        <v>#VALUE!</v>
      </c>
      <c r="BG209" s="122">
        <f aca="true" t="shared" si="149" ref="BG209:BG272">IF(OR(AL209="",AL209=0),"",CONCATENATE(BF209,AR209,AU209))</f>
      </c>
      <c r="BH209" s="120" t="e">
        <f aca="true" t="shared" si="150" ref="BH209:BH272">AI209&amp;BF209&amp;AR209&amp;AU209</f>
        <v>#VALUE!</v>
      </c>
      <c r="BI209" s="120" t="e">
        <f aca="true" t="shared" si="151" ref="BI209:BI272">AG209&amp;BF209&amp;AR209&amp;AU209</f>
        <v>#VALUE!</v>
      </c>
      <c r="BJ209" s="122" t="e">
        <f>VLOOKUP(AY209,'排出係数表'!$A$4:$D$202,4)</f>
        <v>#N/A</v>
      </c>
      <c r="BK209" s="257">
        <f t="shared" si="116"/>
      </c>
    </row>
    <row r="210" spans="1:63" s="124" customFormat="1" ht="13.5" customHeight="1">
      <c r="A210" s="120"/>
      <c r="B210" s="120"/>
      <c r="C210" s="155"/>
      <c r="D210" s="155"/>
      <c r="E210" s="155"/>
      <c r="F210" s="155"/>
      <c r="G210" s="156"/>
      <c r="H210" s="157"/>
      <c r="I210" s="155"/>
      <c r="J210" s="155"/>
      <c r="K210" s="158"/>
      <c r="L210" s="159"/>
      <c r="M210" s="244"/>
      <c r="N210" s="155"/>
      <c r="O210" s="345">
        <f t="shared" si="139"/>
      </c>
      <c r="P210" s="345">
        <f t="shared" si="125"/>
      </c>
      <c r="Q210" s="508"/>
      <c r="R210" s="346"/>
      <c r="S210" s="347"/>
      <c r="T210" s="348"/>
      <c r="U210" s="347"/>
      <c r="V210" s="348"/>
      <c r="W210" s="347"/>
      <c r="X210" s="348"/>
      <c r="Y210" s="347"/>
      <c r="Z210" s="348"/>
      <c r="AA210" s="340" t="e">
        <f t="shared" si="126"/>
        <v>#N/A</v>
      </c>
      <c r="AB210" s="339">
        <f t="shared" si="140"/>
      </c>
      <c r="AC210" s="339">
        <f t="shared" si="141"/>
      </c>
      <c r="AD210" s="255">
        <f t="shared" si="142"/>
      </c>
      <c r="AE210" s="256">
        <f t="shared" si="143"/>
      </c>
      <c r="AF210" s="256">
        <f t="shared" si="144"/>
      </c>
      <c r="AG210" s="255">
        <f t="shared" si="145"/>
      </c>
      <c r="AH210" s="255">
        <f t="shared" si="127"/>
      </c>
      <c r="AI210" s="255">
        <f t="shared" si="146"/>
      </c>
      <c r="AJ210" s="255">
        <f t="shared" si="147"/>
      </c>
      <c r="AK210" s="255">
        <f t="shared" si="128"/>
      </c>
      <c r="AL210" s="255">
        <f t="shared" si="129"/>
      </c>
      <c r="AM210" s="120">
        <f ca="1" t="shared" si="120"/>
        <v>0</v>
      </c>
      <c r="AN210" s="120" t="e">
        <f t="shared" si="130"/>
        <v>#N/A</v>
      </c>
      <c r="AO210" s="120">
        <f>ROWS($AO$4:AO210)-1</f>
        <v>206</v>
      </c>
      <c r="AP210" s="255" t="e">
        <f t="shared" si="121"/>
        <v>#N/A</v>
      </c>
      <c r="AQ210" s="120" t="e">
        <f t="shared" si="131"/>
        <v>#N/A</v>
      </c>
      <c r="AR210" s="120" t="e">
        <f t="shared" si="117"/>
        <v>#N/A</v>
      </c>
      <c r="AS210" s="121">
        <f t="shared" si="122"/>
        <v>1</v>
      </c>
      <c r="AT210" s="120" t="str">
        <f t="shared" si="123"/>
        <v> </v>
      </c>
      <c r="AU210" s="120" t="str">
        <f t="shared" si="124"/>
        <v> </v>
      </c>
      <c r="AV210" s="120" t="e">
        <f t="shared" si="132"/>
        <v>#N/A</v>
      </c>
      <c r="AW210" s="120" t="e">
        <f t="shared" si="133"/>
        <v>#N/A</v>
      </c>
      <c r="AX210" s="120">
        <f t="shared" si="134"/>
      </c>
      <c r="AY210" s="120" t="e">
        <f t="shared" si="135"/>
        <v>#N/A</v>
      </c>
      <c r="AZ210" s="120" t="e">
        <f>VLOOKUP(AY210,'排出係数表'!$A$4:$C$202,2,FALSE)</f>
        <v>#N/A</v>
      </c>
      <c r="BA210" s="120" t="e">
        <f t="shared" si="136"/>
        <v>#N/A</v>
      </c>
      <c r="BB210" s="120" t="e">
        <f>VLOOKUP(AY210,'排出係数表'!$A$4:$C$202,3,FALSE)</f>
        <v>#N/A</v>
      </c>
      <c r="BC210" s="120" t="e">
        <f t="shared" si="137"/>
        <v>#N/A</v>
      </c>
      <c r="BD210" s="120">
        <f t="shared" si="148"/>
        <v>1</v>
      </c>
      <c r="BE210" s="122">
        <f t="shared" si="138"/>
      </c>
      <c r="BF210" s="123" t="e">
        <f t="shared" si="119"/>
        <v>#VALUE!</v>
      </c>
      <c r="BG210" s="122">
        <f t="shared" si="149"/>
      </c>
      <c r="BH210" s="120" t="e">
        <f t="shared" si="150"/>
        <v>#VALUE!</v>
      </c>
      <c r="BI210" s="120" t="e">
        <f t="shared" si="151"/>
        <v>#VALUE!</v>
      </c>
      <c r="BJ210" s="122" t="e">
        <f>VLOOKUP(AY210,'排出係数表'!$A$4:$D$202,4)</f>
        <v>#N/A</v>
      </c>
      <c r="BK210" s="257">
        <f t="shared" si="116"/>
      </c>
    </row>
    <row r="211" spans="1:63" s="124" customFormat="1" ht="13.5" customHeight="1">
      <c r="A211" s="120"/>
      <c r="B211" s="120"/>
      <c r="C211" s="155"/>
      <c r="D211" s="155"/>
      <c r="E211" s="155"/>
      <c r="F211" s="155"/>
      <c r="G211" s="156"/>
      <c r="H211" s="157"/>
      <c r="I211" s="155"/>
      <c r="J211" s="155"/>
      <c r="K211" s="158"/>
      <c r="L211" s="159"/>
      <c r="M211" s="244"/>
      <c r="N211" s="155"/>
      <c r="O211" s="345">
        <f t="shared" si="139"/>
      </c>
      <c r="P211" s="345">
        <f t="shared" si="125"/>
      </c>
      <c r="Q211" s="508"/>
      <c r="R211" s="346"/>
      <c r="S211" s="347"/>
      <c r="T211" s="348"/>
      <c r="U211" s="347"/>
      <c r="V211" s="348"/>
      <c r="W211" s="347"/>
      <c r="X211" s="348"/>
      <c r="Y211" s="347"/>
      <c r="Z211" s="348"/>
      <c r="AA211" s="340" t="e">
        <f t="shared" si="126"/>
        <v>#N/A</v>
      </c>
      <c r="AB211" s="339">
        <f t="shared" si="140"/>
      </c>
      <c r="AC211" s="339">
        <f t="shared" si="141"/>
      </c>
      <c r="AD211" s="255">
        <f t="shared" si="142"/>
      </c>
      <c r="AE211" s="256">
        <f t="shared" si="143"/>
      </c>
      <c r="AF211" s="256">
        <f t="shared" si="144"/>
      </c>
      <c r="AG211" s="255">
        <f t="shared" si="145"/>
      </c>
      <c r="AH211" s="255">
        <f t="shared" si="127"/>
      </c>
      <c r="AI211" s="255">
        <f t="shared" si="146"/>
      </c>
      <c r="AJ211" s="255">
        <f t="shared" si="147"/>
      </c>
      <c r="AK211" s="255">
        <f t="shared" si="128"/>
      </c>
      <c r="AL211" s="255">
        <f t="shared" si="129"/>
      </c>
      <c r="AM211" s="120">
        <f ca="1" t="shared" si="120"/>
        <v>0</v>
      </c>
      <c r="AN211" s="120" t="e">
        <f t="shared" si="130"/>
        <v>#N/A</v>
      </c>
      <c r="AO211" s="120">
        <f>ROWS($AO$4:AO211)-1</f>
        <v>207</v>
      </c>
      <c r="AP211" s="255" t="e">
        <f t="shared" si="121"/>
        <v>#N/A</v>
      </c>
      <c r="AQ211" s="120" t="e">
        <f t="shared" si="131"/>
        <v>#N/A</v>
      </c>
      <c r="AR211" s="120" t="e">
        <f t="shared" si="117"/>
        <v>#N/A</v>
      </c>
      <c r="AS211" s="121">
        <f t="shared" si="122"/>
        <v>1</v>
      </c>
      <c r="AT211" s="120" t="str">
        <f t="shared" si="123"/>
        <v> </v>
      </c>
      <c r="AU211" s="120" t="str">
        <f t="shared" si="124"/>
        <v> </v>
      </c>
      <c r="AV211" s="120" t="e">
        <f t="shared" si="132"/>
        <v>#N/A</v>
      </c>
      <c r="AW211" s="120" t="e">
        <f t="shared" si="133"/>
        <v>#N/A</v>
      </c>
      <c r="AX211" s="120">
        <f t="shared" si="134"/>
      </c>
      <c r="AY211" s="120" t="e">
        <f t="shared" si="135"/>
        <v>#N/A</v>
      </c>
      <c r="AZ211" s="120" t="e">
        <f>VLOOKUP(AY211,'排出係数表'!$A$4:$C$202,2,FALSE)</f>
        <v>#N/A</v>
      </c>
      <c r="BA211" s="120" t="e">
        <f t="shared" si="136"/>
        <v>#N/A</v>
      </c>
      <c r="BB211" s="120" t="e">
        <f>VLOOKUP(AY211,'排出係数表'!$A$4:$C$202,3,FALSE)</f>
        <v>#N/A</v>
      </c>
      <c r="BC211" s="120" t="e">
        <f t="shared" si="137"/>
        <v>#N/A</v>
      </c>
      <c r="BD211" s="120">
        <f t="shared" si="148"/>
        <v>1</v>
      </c>
      <c r="BE211" s="122">
        <f t="shared" si="138"/>
      </c>
      <c r="BF211" s="123" t="e">
        <f t="shared" si="119"/>
        <v>#VALUE!</v>
      </c>
      <c r="BG211" s="122">
        <f t="shared" si="149"/>
      </c>
      <c r="BH211" s="120" t="e">
        <f t="shared" si="150"/>
        <v>#VALUE!</v>
      </c>
      <c r="BI211" s="120" t="e">
        <f t="shared" si="151"/>
        <v>#VALUE!</v>
      </c>
      <c r="BJ211" s="122" t="e">
        <f>VLOOKUP(AY211,'排出係数表'!$A$4:$D$202,4)</f>
        <v>#N/A</v>
      </c>
      <c r="BK211" s="257">
        <f t="shared" si="116"/>
      </c>
    </row>
    <row r="212" spans="1:63" s="124" customFormat="1" ht="13.5" customHeight="1">
      <c r="A212" s="120"/>
      <c r="B212" s="120"/>
      <c r="C212" s="155"/>
      <c r="D212" s="155"/>
      <c r="E212" s="155"/>
      <c r="F212" s="155"/>
      <c r="G212" s="156"/>
      <c r="H212" s="157"/>
      <c r="I212" s="155"/>
      <c r="J212" s="155"/>
      <c r="K212" s="158"/>
      <c r="L212" s="159"/>
      <c r="M212" s="244"/>
      <c r="N212" s="155"/>
      <c r="O212" s="345">
        <f t="shared" si="139"/>
      </c>
      <c r="P212" s="345">
        <f t="shared" si="125"/>
      </c>
      <c r="Q212" s="508"/>
      <c r="R212" s="346"/>
      <c r="S212" s="347"/>
      <c r="T212" s="348"/>
      <c r="U212" s="347"/>
      <c r="V212" s="348"/>
      <c r="W212" s="347"/>
      <c r="X212" s="348"/>
      <c r="Y212" s="347"/>
      <c r="Z212" s="348"/>
      <c r="AA212" s="340" t="e">
        <f t="shared" si="126"/>
        <v>#N/A</v>
      </c>
      <c r="AB212" s="339">
        <f t="shared" si="140"/>
      </c>
      <c r="AC212" s="339">
        <f t="shared" si="141"/>
      </c>
      <c r="AD212" s="255">
        <f t="shared" si="142"/>
      </c>
      <c r="AE212" s="256">
        <f t="shared" si="143"/>
      </c>
      <c r="AF212" s="256">
        <f t="shared" si="144"/>
      </c>
      <c r="AG212" s="255">
        <f t="shared" si="145"/>
      </c>
      <c r="AH212" s="255">
        <f t="shared" si="127"/>
      </c>
      <c r="AI212" s="255">
        <f t="shared" si="146"/>
      </c>
      <c r="AJ212" s="255">
        <f t="shared" si="147"/>
      </c>
      <c r="AK212" s="255">
        <f t="shared" si="128"/>
      </c>
      <c r="AL212" s="255">
        <f t="shared" si="129"/>
      </c>
      <c r="AM212" s="120">
        <f ca="1" t="shared" si="120"/>
        <v>0</v>
      </c>
      <c r="AN212" s="120" t="e">
        <f t="shared" si="130"/>
        <v>#N/A</v>
      </c>
      <c r="AO212" s="120">
        <f>ROWS($AO$4:AO212)-1</f>
        <v>208</v>
      </c>
      <c r="AP212" s="255" t="e">
        <f t="shared" si="121"/>
        <v>#N/A</v>
      </c>
      <c r="AQ212" s="120" t="e">
        <f t="shared" si="131"/>
        <v>#N/A</v>
      </c>
      <c r="AR212" s="120" t="e">
        <f t="shared" si="117"/>
        <v>#N/A</v>
      </c>
      <c r="AS212" s="121">
        <f t="shared" si="122"/>
        <v>1</v>
      </c>
      <c r="AT212" s="120" t="str">
        <f t="shared" si="123"/>
        <v> </v>
      </c>
      <c r="AU212" s="120" t="str">
        <f t="shared" si="124"/>
        <v> </v>
      </c>
      <c r="AV212" s="120" t="e">
        <f t="shared" si="132"/>
        <v>#N/A</v>
      </c>
      <c r="AW212" s="120" t="e">
        <f t="shared" si="133"/>
        <v>#N/A</v>
      </c>
      <c r="AX212" s="120">
        <f t="shared" si="134"/>
      </c>
      <c r="AY212" s="120" t="e">
        <f t="shared" si="135"/>
        <v>#N/A</v>
      </c>
      <c r="AZ212" s="120" t="e">
        <f>VLOOKUP(AY212,'排出係数表'!$A$4:$C$202,2,FALSE)</f>
        <v>#N/A</v>
      </c>
      <c r="BA212" s="120" t="e">
        <f t="shared" si="136"/>
        <v>#N/A</v>
      </c>
      <c r="BB212" s="120" t="e">
        <f>VLOOKUP(AY212,'排出係数表'!$A$4:$C$202,3,FALSE)</f>
        <v>#N/A</v>
      </c>
      <c r="BC212" s="120" t="e">
        <f t="shared" si="137"/>
        <v>#N/A</v>
      </c>
      <c r="BD212" s="120">
        <f t="shared" si="148"/>
        <v>1</v>
      </c>
      <c r="BE212" s="122">
        <f t="shared" si="138"/>
      </c>
      <c r="BF212" s="123" t="e">
        <f t="shared" si="119"/>
        <v>#VALUE!</v>
      </c>
      <c r="BG212" s="122">
        <f t="shared" si="149"/>
      </c>
      <c r="BH212" s="120" t="e">
        <f t="shared" si="150"/>
        <v>#VALUE!</v>
      </c>
      <c r="BI212" s="120" t="e">
        <f t="shared" si="151"/>
        <v>#VALUE!</v>
      </c>
      <c r="BJ212" s="122" t="e">
        <f>VLOOKUP(AY212,'排出係数表'!$A$4:$D$202,4)</f>
        <v>#N/A</v>
      </c>
      <c r="BK212" s="257">
        <f t="shared" si="116"/>
      </c>
    </row>
    <row r="213" spans="1:63" s="124" customFormat="1" ht="13.5" customHeight="1">
      <c r="A213" s="120"/>
      <c r="B213" s="120"/>
      <c r="C213" s="155"/>
      <c r="D213" s="155"/>
      <c r="E213" s="155"/>
      <c r="F213" s="155"/>
      <c r="G213" s="156"/>
      <c r="H213" s="157"/>
      <c r="I213" s="155"/>
      <c r="J213" s="155"/>
      <c r="K213" s="158"/>
      <c r="L213" s="159"/>
      <c r="M213" s="244"/>
      <c r="N213" s="155"/>
      <c r="O213" s="345">
        <f t="shared" si="139"/>
      </c>
      <c r="P213" s="345">
        <f t="shared" si="125"/>
      </c>
      <c r="Q213" s="508"/>
      <c r="R213" s="346"/>
      <c r="S213" s="347"/>
      <c r="T213" s="348"/>
      <c r="U213" s="347"/>
      <c r="V213" s="348"/>
      <c r="W213" s="347"/>
      <c r="X213" s="348"/>
      <c r="Y213" s="347"/>
      <c r="Z213" s="348"/>
      <c r="AA213" s="340" t="e">
        <f t="shared" si="126"/>
        <v>#N/A</v>
      </c>
      <c r="AB213" s="339">
        <f t="shared" si="140"/>
      </c>
      <c r="AC213" s="339">
        <f t="shared" si="141"/>
      </c>
      <c r="AD213" s="255">
        <f t="shared" si="142"/>
      </c>
      <c r="AE213" s="256">
        <f t="shared" si="143"/>
      </c>
      <c r="AF213" s="256">
        <f t="shared" si="144"/>
      </c>
      <c r="AG213" s="255">
        <f t="shared" si="145"/>
      </c>
      <c r="AH213" s="255">
        <f t="shared" si="127"/>
      </c>
      <c r="AI213" s="255">
        <f t="shared" si="146"/>
      </c>
      <c r="AJ213" s="255">
        <f t="shared" si="147"/>
      </c>
      <c r="AK213" s="255">
        <f t="shared" si="128"/>
      </c>
      <c r="AL213" s="255">
        <f t="shared" si="129"/>
      </c>
      <c r="AM213" s="120">
        <f ca="1" t="shared" si="120"/>
        <v>0</v>
      </c>
      <c r="AN213" s="120" t="e">
        <f t="shared" si="130"/>
        <v>#N/A</v>
      </c>
      <c r="AO213" s="120">
        <f>ROWS($AO$4:AO213)-1</f>
        <v>209</v>
      </c>
      <c r="AP213" s="255" t="e">
        <f t="shared" si="121"/>
        <v>#N/A</v>
      </c>
      <c r="AQ213" s="120" t="e">
        <f t="shared" si="131"/>
        <v>#N/A</v>
      </c>
      <c r="AR213" s="120" t="e">
        <f t="shared" si="117"/>
        <v>#N/A</v>
      </c>
      <c r="AS213" s="121">
        <f aca="true" t="shared" si="152" ref="AS213:AS303">IF(I213&gt;3500,I213/1000,1)</f>
        <v>1</v>
      </c>
      <c r="AT213" s="120" t="str">
        <f aca="true" t="shared" si="153" ref="AT213:AT303">IF(ISBLANK(F213)=TRUE," ",IF(LEFT(F213,1)="4",0,IF(I213&lt;=1700,1,IF(I213&lt;=2500,2,IF(I213&lt;=3500,3,4)))))</f>
        <v> </v>
      </c>
      <c r="AU213" s="120" t="str">
        <f aca="true" t="shared" si="154" ref="AU213:AU303">IF(ISBLANK(J213)=TRUE," ",IF(LEFT(F213,1)="1",IF(I213&lt;=3500,1,IF(I213&lt;=5000,2,3)),IF(LEFT(F213,1)="6",IF(I213&lt;=3500,1,IF(I213&lt;=5000,2,3)),"")))</f>
        <v> </v>
      </c>
      <c r="AV213" s="120" t="e">
        <f t="shared" si="132"/>
        <v>#N/A</v>
      </c>
      <c r="AW213" s="120" t="e">
        <f t="shared" si="133"/>
        <v>#N/A</v>
      </c>
      <c r="AX213" s="120">
        <f t="shared" si="134"/>
      </c>
      <c r="AY213" s="120" t="e">
        <f t="shared" si="135"/>
        <v>#N/A</v>
      </c>
      <c r="AZ213" s="120" t="e">
        <f>VLOOKUP(AY213,'排出係数表'!$A$4:$C$202,2,FALSE)</f>
        <v>#N/A</v>
      </c>
      <c r="BA213" s="120" t="e">
        <f t="shared" si="136"/>
        <v>#N/A</v>
      </c>
      <c r="BB213" s="120" t="e">
        <f>VLOOKUP(AY213,'排出係数表'!$A$4:$C$202,3,FALSE)</f>
        <v>#N/A</v>
      </c>
      <c r="BC213" s="120" t="e">
        <f t="shared" si="137"/>
        <v>#N/A</v>
      </c>
      <c r="BD213" s="120">
        <f t="shared" si="148"/>
        <v>1</v>
      </c>
      <c r="BE213" s="122">
        <f t="shared" si="138"/>
      </c>
      <c r="BF213" s="123" t="e">
        <f t="shared" si="119"/>
        <v>#VALUE!</v>
      </c>
      <c r="BG213" s="122">
        <f t="shared" si="149"/>
      </c>
      <c r="BH213" s="120" t="e">
        <f t="shared" si="150"/>
        <v>#VALUE!</v>
      </c>
      <c r="BI213" s="120" t="e">
        <f t="shared" si="151"/>
        <v>#VALUE!</v>
      </c>
      <c r="BJ213" s="122" t="e">
        <f>VLOOKUP(AY213,'排出係数表'!$A$4:$D$202,4)</f>
        <v>#N/A</v>
      </c>
      <c r="BK213" s="257">
        <f t="shared" si="116"/>
      </c>
    </row>
    <row r="214" spans="1:63" s="124" customFormat="1" ht="13.5" customHeight="1">
      <c r="A214" s="120"/>
      <c r="B214" s="120"/>
      <c r="C214" s="155"/>
      <c r="D214" s="155"/>
      <c r="E214" s="155"/>
      <c r="F214" s="155"/>
      <c r="G214" s="156"/>
      <c r="H214" s="157"/>
      <c r="I214" s="155"/>
      <c r="J214" s="155"/>
      <c r="K214" s="158"/>
      <c r="L214" s="159"/>
      <c r="M214" s="244"/>
      <c r="N214" s="155"/>
      <c r="O214" s="345">
        <f t="shared" si="139"/>
      </c>
      <c r="P214" s="345">
        <f t="shared" si="125"/>
      </c>
      <c r="Q214" s="508"/>
      <c r="R214" s="346"/>
      <c r="S214" s="347"/>
      <c r="T214" s="348"/>
      <c r="U214" s="347"/>
      <c r="V214" s="348"/>
      <c r="W214" s="347"/>
      <c r="X214" s="348"/>
      <c r="Y214" s="347"/>
      <c r="Z214" s="348"/>
      <c r="AA214" s="340" t="e">
        <f t="shared" si="126"/>
        <v>#N/A</v>
      </c>
      <c r="AB214" s="339">
        <f t="shared" si="140"/>
      </c>
      <c r="AC214" s="339">
        <f t="shared" si="141"/>
      </c>
      <c r="AD214" s="255">
        <f t="shared" si="142"/>
      </c>
      <c r="AE214" s="256">
        <f t="shared" si="143"/>
      </c>
      <c r="AF214" s="256">
        <f t="shared" si="144"/>
      </c>
      <c r="AG214" s="255">
        <f t="shared" si="145"/>
      </c>
      <c r="AH214" s="255">
        <f t="shared" si="127"/>
      </c>
      <c r="AI214" s="255">
        <f t="shared" si="146"/>
      </c>
      <c r="AJ214" s="255">
        <f t="shared" si="147"/>
      </c>
      <c r="AK214" s="255">
        <f t="shared" si="128"/>
      </c>
      <c r="AL214" s="255">
        <f t="shared" si="129"/>
      </c>
      <c r="AM214" s="120">
        <f aca="true" ca="1" t="shared" si="155" ref="AM214:AM303">COUNTIF(OFFSET($AK$5,,,AO214,1),1)</f>
        <v>0</v>
      </c>
      <c r="AN214" s="120" t="e">
        <f t="shared" si="130"/>
        <v>#N/A</v>
      </c>
      <c r="AO214" s="120">
        <f>ROWS($AO$4:AO214)-1</f>
        <v>210</v>
      </c>
      <c r="AP214" s="255" t="e">
        <f aca="true" t="shared" si="156" ref="AP214:AP303">AN214-AO214</f>
        <v>#N/A</v>
      </c>
      <c r="AQ214" s="120" t="e">
        <f t="shared" si="131"/>
        <v>#N/A</v>
      </c>
      <c r="AR214" s="120" t="e">
        <f t="shared" si="117"/>
        <v>#N/A</v>
      </c>
      <c r="AS214" s="121">
        <f t="shared" si="152"/>
        <v>1</v>
      </c>
      <c r="AT214" s="120" t="str">
        <f t="shared" si="153"/>
        <v> </v>
      </c>
      <c r="AU214" s="120" t="str">
        <f t="shared" si="154"/>
        <v> </v>
      </c>
      <c r="AV214" s="120" t="e">
        <f t="shared" si="132"/>
        <v>#N/A</v>
      </c>
      <c r="AW214" s="120" t="e">
        <f t="shared" si="133"/>
        <v>#N/A</v>
      </c>
      <c r="AX214" s="120">
        <f t="shared" si="134"/>
      </c>
      <c r="AY214" s="120" t="e">
        <f t="shared" si="135"/>
        <v>#N/A</v>
      </c>
      <c r="AZ214" s="120" t="e">
        <f>VLOOKUP(AY214,'排出係数表'!$A$4:$C$202,2,FALSE)</f>
        <v>#N/A</v>
      </c>
      <c r="BA214" s="120" t="e">
        <f t="shared" si="136"/>
        <v>#N/A</v>
      </c>
      <c r="BB214" s="120" t="e">
        <f>VLOOKUP(AY214,'排出係数表'!$A$4:$C$202,3,FALSE)</f>
        <v>#N/A</v>
      </c>
      <c r="BC214" s="120" t="e">
        <f t="shared" si="137"/>
        <v>#N/A</v>
      </c>
      <c r="BD214" s="120">
        <f t="shared" si="148"/>
        <v>1</v>
      </c>
      <c r="BE214" s="122">
        <f t="shared" si="138"/>
      </c>
      <c r="BF214" s="123" t="e">
        <f t="shared" si="119"/>
        <v>#VALUE!</v>
      </c>
      <c r="BG214" s="122">
        <f t="shared" si="149"/>
      </c>
      <c r="BH214" s="120" t="e">
        <f t="shared" si="150"/>
        <v>#VALUE!</v>
      </c>
      <c r="BI214" s="120" t="e">
        <f t="shared" si="151"/>
        <v>#VALUE!</v>
      </c>
      <c r="BJ214" s="122" t="e">
        <f>VLOOKUP(AY214,'排出係数表'!$A$4:$D$202,4)</f>
        <v>#N/A</v>
      </c>
      <c r="BK214" s="257">
        <f t="shared" si="116"/>
      </c>
    </row>
    <row r="215" spans="1:63" s="124" customFormat="1" ht="13.5" customHeight="1">
      <c r="A215" s="120"/>
      <c r="B215" s="120"/>
      <c r="C215" s="155"/>
      <c r="D215" s="155"/>
      <c r="E215" s="155"/>
      <c r="F215" s="155"/>
      <c r="G215" s="156"/>
      <c r="H215" s="157"/>
      <c r="I215" s="155"/>
      <c r="J215" s="155"/>
      <c r="K215" s="158"/>
      <c r="L215" s="159"/>
      <c r="M215" s="244"/>
      <c r="N215" s="155"/>
      <c r="O215" s="345">
        <f t="shared" si="139"/>
      </c>
      <c r="P215" s="345">
        <f t="shared" si="125"/>
      </c>
      <c r="Q215" s="508"/>
      <c r="R215" s="346"/>
      <c r="S215" s="347"/>
      <c r="T215" s="348"/>
      <c r="U215" s="347"/>
      <c r="V215" s="348"/>
      <c r="W215" s="347"/>
      <c r="X215" s="348"/>
      <c r="Y215" s="347"/>
      <c r="Z215" s="348"/>
      <c r="AA215" s="340" t="e">
        <f t="shared" si="126"/>
        <v>#N/A</v>
      </c>
      <c r="AB215" s="339">
        <f t="shared" si="140"/>
      </c>
      <c r="AC215" s="339">
        <f t="shared" si="141"/>
      </c>
      <c r="AD215" s="255">
        <f t="shared" si="142"/>
      </c>
      <c r="AE215" s="256">
        <f t="shared" si="143"/>
      </c>
      <c r="AF215" s="256">
        <f t="shared" si="144"/>
      </c>
      <c r="AG215" s="255">
        <f t="shared" si="145"/>
      </c>
      <c r="AH215" s="255">
        <f t="shared" si="127"/>
      </c>
      <c r="AI215" s="255">
        <f t="shared" si="146"/>
      </c>
      <c r="AJ215" s="255">
        <f t="shared" si="147"/>
      </c>
      <c r="AK215" s="255">
        <f t="shared" si="128"/>
      </c>
      <c r="AL215" s="255">
        <f t="shared" si="129"/>
      </c>
      <c r="AM215" s="120">
        <f ca="1" t="shared" si="155"/>
        <v>0</v>
      </c>
      <c r="AN215" s="120" t="e">
        <f t="shared" si="130"/>
        <v>#N/A</v>
      </c>
      <c r="AO215" s="120">
        <f>ROWS($AO$4:AO215)-1</f>
        <v>211</v>
      </c>
      <c r="AP215" s="255" t="e">
        <f t="shared" si="156"/>
        <v>#N/A</v>
      </c>
      <c r="AQ215" s="120" t="e">
        <f t="shared" si="131"/>
        <v>#N/A</v>
      </c>
      <c r="AR215" s="120" t="e">
        <f t="shared" si="117"/>
        <v>#N/A</v>
      </c>
      <c r="AS215" s="121">
        <f t="shared" si="152"/>
        <v>1</v>
      </c>
      <c r="AT215" s="120" t="str">
        <f t="shared" si="153"/>
        <v> </v>
      </c>
      <c r="AU215" s="120" t="str">
        <f t="shared" si="154"/>
        <v> </v>
      </c>
      <c r="AV215" s="120" t="e">
        <f t="shared" si="132"/>
        <v>#N/A</v>
      </c>
      <c r="AW215" s="120" t="e">
        <f t="shared" si="133"/>
        <v>#N/A</v>
      </c>
      <c r="AX215" s="120">
        <f t="shared" si="134"/>
      </c>
      <c r="AY215" s="120" t="e">
        <f t="shared" si="135"/>
        <v>#N/A</v>
      </c>
      <c r="AZ215" s="120" t="e">
        <f>VLOOKUP(AY215,'排出係数表'!$A$4:$C$202,2,FALSE)</f>
        <v>#N/A</v>
      </c>
      <c r="BA215" s="120" t="e">
        <f t="shared" si="136"/>
        <v>#N/A</v>
      </c>
      <c r="BB215" s="120" t="e">
        <f>VLOOKUP(AY215,'排出係数表'!$A$4:$C$202,3,FALSE)</f>
        <v>#N/A</v>
      </c>
      <c r="BC215" s="120" t="e">
        <f t="shared" si="137"/>
        <v>#N/A</v>
      </c>
      <c r="BD215" s="120">
        <f t="shared" si="148"/>
        <v>1</v>
      </c>
      <c r="BE215" s="122">
        <f t="shared" si="138"/>
      </c>
      <c r="BF215" s="123" t="e">
        <f t="shared" si="119"/>
        <v>#VALUE!</v>
      </c>
      <c r="BG215" s="122">
        <f t="shared" si="149"/>
      </c>
      <c r="BH215" s="120" t="e">
        <f t="shared" si="150"/>
        <v>#VALUE!</v>
      </c>
      <c r="BI215" s="120" t="e">
        <f t="shared" si="151"/>
        <v>#VALUE!</v>
      </c>
      <c r="BJ215" s="122" t="e">
        <f>VLOOKUP(AY215,'排出係数表'!$A$4:$D$202,4)</f>
        <v>#N/A</v>
      </c>
      <c r="BK215" s="257">
        <f t="shared" si="116"/>
      </c>
    </row>
    <row r="216" spans="1:63" s="124" customFormat="1" ht="13.5" customHeight="1">
      <c r="A216" s="120"/>
      <c r="B216" s="120"/>
      <c r="C216" s="155"/>
      <c r="D216" s="155"/>
      <c r="E216" s="155"/>
      <c r="F216" s="155"/>
      <c r="G216" s="156"/>
      <c r="H216" s="157"/>
      <c r="I216" s="155"/>
      <c r="J216" s="155"/>
      <c r="K216" s="158"/>
      <c r="L216" s="159"/>
      <c r="M216" s="244"/>
      <c r="N216" s="155"/>
      <c r="O216" s="345">
        <f t="shared" si="139"/>
      </c>
      <c r="P216" s="345">
        <f t="shared" si="125"/>
      </c>
      <c r="Q216" s="508"/>
      <c r="R216" s="346"/>
      <c r="S216" s="347"/>
      <c r="T216" s="348"/>
      <c r="U216" s="347"/>
      <c r="V216" s="348"/>
      <c r="W216" s="347"/>
      <c r="X216" s="348"/>
      <c r="Y216" s="347"/>
      <c r="Z216" s="348"/>
      <c r="AA216" s="340" t="e">
        <f t="shared" si="126"/>
        <v>#N/A</v>
      </c>
      <c r="AB216" s="339">
        <f t="shared" si="140"/>
      </c>
      <c r="AC216" s="339">
        <f t="shared" si="141"/>
      </c>
      <c r="AD216" s="255">
        <f t="shared" si="142"/>
      </c>
      <c r="AE216" s="256">
        <f t="shared" si="143"/>
      </c>
      <c r="AF216" s="256">
        <f t="shared" si="144"/>
      </c>
      <c r="AG216" s="255">
        <f t="shared" si="145"/>
      </c>
      <c r="AH216" s="255">
        <f t="shared" si="127"/>
      </c>
      <c r="AI216" s="255">
        <f t="shared" si="146"/>
      </c>
      <c r="AJ216" s="255">
        <f t="shared" si="147"/>
      </c>
      <c r="AK216" s="255">
        <f t="shared" si="128"/>
      </c>
      <c r="AL216" s="255">
        <f t="shared" si="129"/>
      </c>
      <c r="AM216" s="120">
        <f ca="1" t="shared" si="155"/>
        <v>0</v>
      </c>
      <c r="AN216" s="120" t="e">
        <f t="shared" si="130"/>
        <v>#N/A</v>
      </c>
      <c r="AO216" s="120">
        <f>ROWS($AO$4:AO216)-1</f>
        <v>212</v>
      </c>
      <c r="AP216" s="255" t="e">
        <f t="shared" si="156"/>
        <v>#N/A</v>
      </c>
      <c r="AQ216" s="120" t="e">
        <f t="shared" si="131"/>
        <v>#N/A</v>
      </c>
      <c r="AR216" s="120" t="e">
        <f t="shared" si="117"/>
        <v>#N/A</v>
      </c>
      <c r="AS216" s="121">
        <f t="shared" si="152"/>
        <v>1</v>
      </c>
      <c r="AT216" s="120" t="str">
        <f t="shared" si="153"/>
        <v> </v>
      </c>
      <c r="AU216" s="120" t="str">
        <f t="shared" si="154"/>
        <v> </v>
      </c>
      <c r="AV216" s="120" t="e">
        <f t="shared" si="132"/>
        <v>#N/A</v>
      </c>
      <c r="AW216" s="120" t="e">
        <f t="shared" si="133"/>
        <v>#N/A</v>
      </c>
      <c r="AX216" s="120">
        <f t="shared" si="134"/>
      </c>
      <c r="AY216" s="120" t="e">
        <f t="shared" si="135"/>
        <v>#N/A</v>
      </c>
      <c r="AZ216" s="120" t="e">
        <f>VLOOKUP(AY216,'排出係数表'!$A$4:$C$202,2,FALSE)</f>
        <v>#N/A</v>
      </c>
      <c r="BA216" s="120" t="e">
        <f t="shared" si="136"/>
        <v>#N/A</v>
      </c>
      <c r="BB216" s="120" t="e">
        <f>VLOOKUP(AY216,'排出係数表'!$A$4:$C$202,3,FALSE)</f>
        <v>#N/A</v>
      </c>
      <c r="BC216" s="120" t="e">
        <f t="shared" si="137"/>
        <v>#N/A</v>
      </c>
      <c r="BD216" s="120">
        <f t="shared" si="148"/>
        <v>1</v>
      </c>
      <c r="BE216" s="122">
        <f t="shared" si="138"/>
      </c>
      <c r="BF216" s="123" t="e">
        <f t="shared" si="119"/>
        <v>#VALUE!</v>
      </c>
      <c r="BG216" s="122">
        <f t="shared" si="149"/>
      </c>
      <c r="BH216" s="120" t="e">
        <f t="shared" si="150"/>
        <v>#VALUE!</v>
      </c>
      <c r="BI216" s="120" t="e">
        <f t="shared" si="151"/>
        <v>#VALUE!</v>
      </c>
      <c r="BJ216" s="122" t="e">
        <f>VLOOKUP(AY216,'排出係数表'!$A$4:$D$202,4)</f>
        <v>#N/A</v>
      </c>
      <c r="BK216" s="257">
        <f t="shared" si="116"/>
      </c>
    </row>
    <row r="217" spans="1:63" s="124" customFormat="1" ht="13.5" customHeight="1">
      <c r="A217" s="120"/>
      <c r="B217" s="120"/>
      <c r="C217" s="155"/>
      <c r="D217" s="155"/>
      <c r="E217" s="155"/>
      <c r="F217" s="155"/>
      <c r="G217" s="156"/>
      <c r="H217" s="157"/>
      <c r="I217" s="155"/>
      <c r="J217" s="155"/>
      <c r="K217" s="158"/>
      <c r="L217" s="159"/>
      <c r="M217" s="244"/>
      <c r="N217" s="155"/>
      <c r="O217" s="345">
        <f t="shared" si="139"/>
      </c>
      <c r="P217" s="345">
        <f t="shared" si="125"/>
      </c>
      <c r="Q217" s="508"/>
      <c r="R217" s="346"/>
      <c r="S217" s="347"/>
      <c r="T217" s="348"/>
      <c r="U217" s="347"/>
      <c r="V217" s="348"/>
      <c r="W217" s="347"/>
      <c r="X217" s="348"/>
      <c r="Y217" s="347"/>
      <c r="Z217" s="348"/>
      <c r="AA217" s="340" t="e">
        <f t="shared" si="126"/>
        <v>#N/A</v>
      </c>
      <c r="AB217" s="339">
        <f t="shared" si="140"/>
      </c>
      <c r="AC217" s="339">
        <f t="shared" si="141"/>
      </c>
      <c r="AD217" s="255">
        <f t="shared" si="142"/>
      </c>
      <c r="AE217" s="256">
        <f t="shared" si="143"/>
      </c>
      <c r="AF217" s="256">
        <f t="shared" si="144"/>
      </c>
      <c r="AG217" s="255">
        <f t="shared" si="145"/>
      </c>
      <c r="AH217" s="255">
        <f t="shared" si="127"/>
      </c>
      <c r="AI217" s="255">
        <f t="shared" si="146"/>
      </c>
      <c r="AJ217" s="255">
        <f t="shared" si="147"/>
      </c>
      <c r="AK217" s="255">
        <f t="shared" si="128"/>
      </c>
      <c r="AL217" s="255">
        <f t="shared" si="129"/>
      </c>
      <c r="AM217" s="120">
        <f ca="1" t="shared" si="155"/>
        <v>0</v>
      </c>
      <c r="AN217" s="120" t="e">
        <f t="shared" si="130"/>
        <v>#N/A</v>
      </c>
      <c r="AO217" s="120">
        <f>ROWS($AO$4:AO217)-1</f>
        <v>213</v>
      </c>
      <c r="AP217" s="255" t="e">
        <f t="shared" si="156"/>
        <v>#N/A</v>
      </c>
      <c r="AQ217" s="120" t="e">
        <f t="shared" si="131"/>
        <v>#N/A</v>
      </c>
      <c r="AR217" s="120" t="e">
        <f t="shared" si="117"/>
        <v>#N/A</v>
      </c>
      <c r="AS217" s="121">
        <f t="shared" si="152"/>
        <v>1</v>
      </c>
      <c r="AT217" s="120" t="str">
        <f t="shared" si="153"/>
        <v> </v>
      </c>
      <c r="AU217" s="120" t="str">
        <f t="shared" si="154"/>
        <v> </v>
      </c>
      <c r="AV217" s="120" t="e">
        <f t="shared" si="132"/>
        <v>#N/A</v>
      </c>
      <c r="AW217" s="120" t="e">
        <f t="shared" si="133"/>
        <v>#N/A</v>
      </c>
      <c r="AX217" s="120">
        <f t="shared" si="134"/>
      </c>
      <c r="AY217" s="120" t="e">
        <f t="shared" si="135"/>
        <v>#N/A</v>
      </c>
      <c r="AZ217" s="120" t="e">
        <f>VLOOKUP(AY217,'排出係数表'!$A$4:$C$202,2,FALSE)</f>
        <v>#N/A</v>
      </c>
      <c r="BA217" s="120" t="e">
        <f t="shared" si="136"/>
        <v>#N/A</v>
      </c>
      <c r="BB217" s="120" t="e">
        <f>VLOOKUP(AY217,'排出係数表'!$A$4:$C$202,3,FALSE)</f>
        <v>#N/A</v>
      </c>
      <c r="BC217" s="120" t="e">
        <f t="shared" si="137"/>
        <v>#N/A</v>
      </c>
      <c r="BD217" s="120">
        <f t="shared" si="148"/>
        <v>1</v>
      </c>
      <c r="BE217" s="122">
        <f t="shared" si="138"/>
      </c>
      <c r="BF217" s="123" t="e">
        <f t="shared" si="119"/>
        <v>#VALUE!</v>
      </c>
      <c r="BG217" s="122">
        <f t="shared" si="149"/>
      </c>
      <c r="BH217" s="120" t="e">
        <f t="shared" si="150"/>
        <v>#VALUE!</v>
      </c>
      <c r="BI217" s="120" t="e">
        <f t="shared" si="151"/>
        <v>#VALUE!</v>
      </c>
      <c r="BJ217" s="122" t="e">
        <f>VLOOKUP(AY217,'排出係数表'!$A$4:$D$202,4)</f>
        <v>#N/A</v>
      </c>
      <c r="BK217" s="257">
        <f aca="true" t="shared" si="157" ref="BK217:BK280">LEFT(K217,4)&amp;LEFT(L217,2)</f>
      </c>
    </row>
    <row r="218" spans="1:63" s="124" customFormat="1" ht="13.5" customHeight="1">
      <c r="A218" s="120"/>
      <c r="B218" s="120"/>
      <c r="C218" s="155"/>
      <c r="D218" s="155"/>
      <c r="E218" s="155"/>
      <c r="F218" s="155"/>
      <c r="G218" s="156"/>
      <c r="H218" s="157"/>
      <c r="I218" s="155"/>
      <c r="J218" s="155"/>
      <c r="K218" s="158"/>
      <c r="L218" s="159"/>
      <c r="M218" s="244"/>
      <c r="N218" s="155"/>
      <c r="O218" s="345">
        <f t="shared" si="139"/>
      </c>
      <c r="P218" s="345">
        <f t="shared" si="125"/>
      </c>
      <c r="Q218" s="508"/>
      <c r="R218" s="346"/>
      <c r="S218" s="347"/>
      <c r="T218" s="348"/>
      <c r="U218" s="347"/>
      <c r="V218" s="348"/>
      <c r="W218" s="347"/>
      <c r="X218" s="348"/>
      <c r="Y218" s="347"/>
      <c r="Z218" s="348"/>
      <c r="AA218" s="340" t="e">
        <f t="shared" si="126"/>
        <v>#N/A</v>
      </c>
      <c r="AB218" s="339">
        <f t="shared" si="140"/>
      </c>
      <c r="AC218" s="339">
        <f t="shared" si="141"/>
      </c>
      <c r="AD218" s="255">
        <f t="shared" si="142"/>
      </c>
      <c r="AE218" s="256">
        <f t="shared" si="143"/>
      </c>
      <c r="AF218" s="256">
        <f t="shared" si="144"/>
      </c>
      <c r="AG218" s="255">
        <f t="shared" si="145"/>
      </c>
      <c r="AH218" s="255">
        <f t="shared" si="127"/>
      </c>
      <c r="AI218" s="255">
        <f t="shared" si="146"/>
      </c>
      <c r="AJ218" s="255">
        <f t="shared" si="147"/>
      </c>
      <c r="AK218" s="255">
        <f t="shared" si="128"/>
      </c>
      <c r="AL218" s="255">
        <f t="shared" si="129"/>
      </c>
      <c r="AM218" s="120">
        <f ca="1" t="shared" si="155"/>
        <v>0</v>
      </c>
      <c r="AN218" s="120" t="e">
        <f t="shared" si="130"/>
        <v>#N/A</v>
      </c>
      <c r="AO218" s="120">
        <f>ROWS($AO$4:AO218)-1</f>
        <v>214</v>
      </c>
      <c r="AP218" s="255" t="e">
        <f t="shared" si="156"/>
        <v>#N/A</v>
      </c>
      <c r="AQ218" s="120" t="e">
        <f t="shared" si="131"/>
        <v>#N/A</v>
      </c>
      <c r="AR218" s="120" t="e">
        <f t="shared" si="117"/>
        <v>#N/A</v>
      </c>
      <c r="AS218" s="121">
        <f t="shared" si="152"/>
        <v>1</v>
      </c>
      <c r="AT218" s="120" t="str">
        <f t="shared" si="153"/>
        <v> </v>
      </c>
      <c r="AU218" s="120" t="str">
        <f t="shared" si="154"/>
        <v> </v>
      </c>
      <c r="AV218" s="120" t="e">
        <f t="shared" si="132"/>
        <v>#N/A</v>
      </c>
      <c r="AW218" s="120" t="e">
        <f t="shared" si="133"/>
        <v>#N/A</v>
      </c>
      <c r="AX218" s="120">
        <f t="shared" si="134"/>
      </c>
      <c r="AY218" s="120" t="e">
        <f t="shared" si="135"/>
        <v>#N/A</v>
      </c>
      <c r="AZ218" s="120" t="e">
        <f>VLOOKUP(AY218,'排出係数表'!$A$4:$C$202,2,FALSE)</f>
        <v>#N/A</v>
      </c>
      <c r="BA218" s="120" t="e">
        <f t="shared" si="136"/>
        <v>#N/A</v>
      </c>
      <c r="BB218" s="120" t="e">
        <f>VLOOKUP(AY218,'排出係数表'!$A$4:$C$202,3,FALSE)</f>
        <v>#N/A</v>
      </c>
      <c r="BC218" s="120" t="e">
        <f t="shared" si="137"/>
        <v>#N/A</v>
      </c>
      <c r="BD218" s="120">
        <f t="shared" si="148"/>
        <v>1</v>
      </c>
      <c r="BE218" s="122">
        <f t="shared" si="138"/>
      </c>
      <c r="BF218" s="123" t="e">
        <f t="shared" si="119"/>
        <v>#VALUE!</v>
      </c>
      <c r="BG218" s="122">
        <f t="shared" si="149"/>
      </c>
      <c r="BH218" s="120" t="e">
        <f t="shared" si="150"/>
        <v>#VALUE!</v>
      </c>
      <c r="BI218" s="120" t="e">
        <f t="shared" si="151"/>
        <v>#VALUE!</v>
      </c>
      <c r="BJ218" s="122" t="e">
        <f>VLOOKUP(AY218,'排出係数表'!$A$4:$D$202,4)</f>
        <v>#N/A</v>
      </c>
      <c r="BK218" s="257">
        <f t="shared" si="157"/>
      </c>
    </row>
    <row r="219" spans="1:63" s="124" customFormat="1" ht="13.5" customHeight="1">
      <c r="A219" s="120"/>
      <c r="B219" s="120"/>
      <c r="C219" s="155"/>
      <c r="D219" s="155"/>
      <c r="E219" s="155"/>
      <c r="F219" s="155"/>
      <c r="G219" s="156"/>
      <c r="H219" s="157"/>
      <c r="I219" s="155"/>
      <c r="J219" s="155"/>
      <c r="K219" s="158"/>
      <c r="L219" s="159"/>
      <c r="M219" s="244"/>
      <c r="N219" s="155"/>
      <c r="O219" s="345">
        <f t="shared" si="139"/>
      </c>
      <c r="P219" s="345">
        <f t="shared" si="125"/>
      </c>
      <c r="Q219" s="508"/>
      <c r="R219" s="346"/>
      <c r="S219" s="347"/>
      <c r="T219" s="348"/>
      <c r="U219" s="347"/>
      <c r="V219" s="348"/>
      <c r="W219" s="347"/>
      <c r="X219" s="348"/>
      <c r="Y219" s="347"/>
      <c r="Z219" s="348"/>
      <c r="AA219" s="340" t="e">
        <f t="shared" si="126"/>
        <v>#N/A</v>
      </c>
      <c r="AB219" s="339">
        <f t="shared" si="140"/>
      </c>
      <c r="AC219" s="339">
        <f t="shared" si="141"/>
      </c>
      <c r="AD219" s="255">
        <f t="shared" si="142"/>
      </c>
      <c r="AE219" s="256">
        <f t="shared" si="143"/>
      </c>
      <c r="AF219" s="256">
        <f t="shared" si="144"/>
      </c>
      <c r="AG219" s="255">
        <f t="shared" si="145"/>
      </c>
      <c r="AH219" s="255">
        <f t="shared" si="127"/>
      </c>
      <c r="AI219" s="255">
        <f t="shared" si="146"/>
      </c>
      <c r="AJ219" s="255">
        <f t="shared" si="147"/>
      </c>
      <c r="AK219" s="255">
        <f t="shared" si="128"/>
      </c>
      <c r="AL219" s="255">
        <f t="shared" si="129"/>
      </c>
      <c r="AM219" s="120">
        <f ca="1" t="shared" si="155"/>
        <v>0</v>
      </c>
      <c r="AN219" s="120" t="e">
        <f t="shared" si="130"/>
        <v>#N/A</v>
      </c>
      <c r="AO219" s="120">
        <f>ROWS($AO$4:AO219)-1</f>
        <v>215</v>
      </c>
      <c r="AP219" s="255" t="e">
        <f t="shared" si="156"/>
        <v>#N/A</v>
      </c>
      <c r="AQ219" s="120" t="e">
        <f t="shared" si="131"/>
        <v>#N/A</v>
      </c>
      <c r="AR219" s="120" t="e">
        <f t="shared" si="117"/>
        <v>#N/A</v>
      </c>
      <c r="AS219" s="121">
        <f t="shared" si="152"/>
        <v>1</v>
      </c>
      <c r="AT219" s="120" t="str">
        <f t="shared" si="153"/>
        <v> </v>
      </c>
      <c r="AU219" s="120" t="str">
        <f t="shared" si="154"/>
        <v> </v>
      </c>
      <c r="AV219" s="120" t="e">
        <f t="shared" si="132"/>
        <v>#N/A</v>
      </c>
      <c r="AW219" s="120" t="e">
        <f t="shared" si="133"/>
        <v>#N/A</v>
      </c>
      <c r="AX219" s="120">
        <f t="shared" si="134"/>
      </c>
      <c r="AY219" s="120" t="e">
        <f t="shared" si="135"/>
        <v>#N/A</v>
      </c>
      <c r="AZ219" s="120" t="e">
        <f>VLOOKUP(AY219,'排出係数表'!$A$4:$C$202,2,FALSE)</f>
        <v>#N/A</v>
      </c>
      <c r="BA219" s="120" t="e">
        <f t="shared" si="136"/>
        <v>#N/A</v>
      </c>
      <c r="BB219" s="120" t="e">
        <f>VLOOKUP(AY219,'排出係数表'!$A$4:$C$202,3,FALSE)</f>
        <v>#N/A</v>
      </c>
      <c r="BC219" s="120" t="e">
        <f t="shared" si="137"/>
        <v>#N/A</v>
      </c>
      <c r="BD219" s="120">
        <f t="shared" si="148"/>
        <v>1</v>
      </c>
      <c r="BE219" s="122">
        <f t="shared" si="138"/>
      </c>
      <c r="BF219" s="123" t="e">
        <f t="shared" si="119"/>
        <v>#VALUE!</v>
      </c>
      <c r="BG219" s="122">
        <f t="shared" si="149"/>
      </c>
      <c r="BH219" s="120" t="e">
        <f t="shared" si="150"/>
        <v>#VALUE!</v>
      </c>
      <c r="BI219" s="120" t="e">
        <f t="shared" si="151"/>
        <v>#VALUE!</v>
      </c>
      <c r="BJ219" s="122" t="e">
        <f>VLOOKUP(AY219,'排出係数表'!$A$4:$D$202,4)</f>
        <v>#N/A</v>
      </c>
      <c r="BK219" s="257">
        <f t="shared" si="157"/>
      </c>
    </row>
    <row r="220" spans="1:63" s="124" customFormat="1" ht="13.5" customHeight="1">
      <c r="A220" s="120"/>
      <c r="B220" s="120"/>
      <c r="C220" s="155"/>
      <c r="D220" s="155"/>
      <c r="E220" s="155"/>
      <c r="F220" s="155"/>
      <c r="G220" s="156"/>
      <c r="H220" s="157"/>
      <c r="I220" s="155"/>
      <c r="J220" s="155"/>
      <c r="K220" s="158"/>
      <c r="L220" s="159"/>
      <c r="M220" s="244"/>
      <c r="N220" s="155"/>
      <c r="O220" s="345">
        <f t="shared" si="139"/>
      </c>
      <c r="P220" s="345">
        <f t="shared" si="125"/>
      </c>
      <c r="Q220" s="508"/>
      <c r="R220" s="346"/>
      <c r="S220" s="347"/>
      <c r="T220" s="348"/>
      <c r="U220" s="347"/>
      <c r="V220" s="348"/>
      <c r="W220" s="347"/>
      <c r="X220" s="348"/>
      <c r="Y220" s="347"/>
      <c r="Z220" s="348"/>
      <c r="AA220" s="340" t="e">
        <f t="shared" si="126"/>
        <v>#N/A</v>
      </c>
      <c r="AB220" s="339">
        <f t="shared" si="140"/>
      </c>
      <c r="AC220" s="339">
        <f t="shared" si="141"/>
      </c>
      <c r="AD220" s="255">
        <f t="shared" si="142"/>
      </c>
      <c r="AE220" s="256">
        <f t="shared" si="143"/>
      </c>
      <c r="AF220" s="256">
        <f t="shared" si="144"/>
      </c>
      <c r="AG220" s="255">
        <f t="shared" si="145"/>
      </c>
      <c r="AH220" s="255">
        <f t="shared" si="127"/>
      </c>
      <c r="AI220" s="255">
        <f t="shared" si="146"/>
      </c>
      <c r="AJ220" s="255">
        <f t="shared" si="147"/>
      </c>
      <c r="AK220" s="255">
        <f t="shared" si="128"/>
      </c>
      <c r="AL220" s="255">
        <f t="shared" si="129"/>
      </c>
      <c r="AM220" s="120">
        <f ca="1" t="shared" si="155"/>
        <v>0</v>
      </c>
      <c r="AN220" s="120" t="e">
        <f t="shared" si="130"/>
        <v>#N/A</v>
      </c>
      <c r="AO220" s="120">
        <f>ROWS($AO$4:AO220)-1</f>
        <v>216</v>
      </c>
      <c r="AP220" s="255" t="e">
        <f t="shared" si="156"/>
        <v>#N/A</v>
      </c>
      <c r="AQ220" s="120" t="e">
        <f t="shared" si="131"/>
        <v>#N/A</v>
      </c>
      <c r="AR220" s="120" t="e">
        <f t="shared" si="117"/>
        <v>#N/A</v>
      </c>
      <c r="AS220" s="121">
        <f t="shared" si="152"/>
        <v>1</v>
      </c>
      <c r="AT220" s="120" t="str">
        <f t="shared" si="153"/>
        <v> </v>
      </c>
      <c r="AU220" s="120" t="str">
        <f t="shared" si="154"/>
        <v> </v>
      </c>
      <c r="AV220" s="120" t="e">
        <f t="shared" si="132"/>
        <v>#N/A</v>
      </c>
      <c r="AW220" s="120" t="e">
        <f t="shared" si="133"/>
        <v>#N/A</v>
      </c>
      <c r="AX220" s="120">
        <f t="shared" si="134"/>
      </c>
      <c r="AY220" s="120" t="e">
        <f t="shared" si="135"/>
        <v>#N/A</v>
      </c>
      <c r="AZ220" s="120" t="e">
        <f>VLOOKUP(AY220,'排出係数表'!$A$4:$C$202,2,FALSE)</f>
        <v>#N/A</v>
      </c>
      <c r="BA220" s="120" t="e">
        <f t="shared" si="136"/>
        <v>#N/A</v>
      </c>
      <c r="BB220" s="120" t="e">
        <f>VLOOKUP(AY220,'排出係数表'!$A$4:$C$202,3,FALSE)</f>
        <v>#N/A</v>
      </c>
      <c r="BC220" s="120" t="e">
        <f t="shared" si="137"/>
        <v>#N/A</v>
      </c>
      <c r="BD220" s="120">
        <f t="shared" si="148"/>
        <v>1</v>
      </c>
      <c r="BE220" s="122">
        <f t="shared" si="138"/>
      </c>
      <c r="BF220" s="123" t="e">
        <f t="shared" si="119"/>
        <v>#VALUE!</v>
      </c>
      <c r="BG220" s="122">
        <f t="shared" si="149"/>
      </c>
      <c r="BH220" s="120" t="e">
        <f t="shared" si="150"/>
        <v>#VALUE!</v>
      </c>
      <c r="BI220" s="120" t="e">
        <f t="shared" si="151"/>
        <v>#VALUE!</v>
      </c>
      <c r="BJ220" s="122" t="e">
        <f>VLOOKUP(AY220,'排出係数表'!$A$4:$D$202,4)</f>
        <v>#N/A</v>
      </c>
      <c r="BK220" s="257">
        <f t="shared" si="157"/>
      </c>
    </row>
    <row r="221" spans="1:63" s="124" customFormat="1" ht="13.5" customHeight="1">
      <c r="A221" s="120"/>
      <c r="B221" s="120"/>
      <c r="C221" s="155"/>
      <c r="D221" s="155"/>
      <c r="E221" s="155"/>
      <c r="F221" s="155"/>
      <c r="G221" s="156"/>
      <c r="H221" s="157"/>
      <c r="I221" s="155"/>
      <c r="J221" s="155"/>
      <c r="K221" s="158"/>
      <c r="L221" s="159"/>
      <c r="M221" s="244"/>
      <c r="N221" s="155"/>
      <c r="O221" s="345">
        <f t="shared" si="139"/>
      </c>
      <c r="P221" s="345">
        <f t="shared" si="125"/>
      </c>
      <c r="Q221" s="508"/>
      <c r="R221" s="346"/>
      <c r="S221" s="347"/>
      <c r="T221" s="348"/>
      <c r="U221" s="347"/>
      <c r="V221" s="348"/>
      <c r="W221" s="347"/>
      <c r="X221" s="348"/>
      <c r="Y221" s="347"/>
      <c r="Z221" s="348"/>
      <c r="AA221" s="340" t="e">
        <f t="shared" si="126"/>
        <v>#N/A</v>
      </c>
      <c r="AB221" s="339">
        <f t="shared" si="140"/>
      </c>
      <c r="AC221" s="339">
        <f t="shared" si="141"/>
      </c>
      <c r="AD221" s="255">
        <f t="shared" si="142"/>
      </c>
      <c r="AE221" s="256">
        <f t="shared" si="143"/>
      </c>
      <c r="AF221" s="256">
        <f t="shared" si="144"/>
      </c>
      <c r="AG221" s="255">
        <f t="shared" si="145"/>
      </c>
      <c r="AH221" s="255">
        <f t="shared" si="127"/>
      </c>
      <c r="AI221" s="255">
        <f t="shared" si="146"/>
      </c>
      <c r="AJ221" s="255">
        <f t="shared" si="147"/>
      </c>
      <c r="AK221" s="255">
        <f t="shared" si="128"/>
      </c>
      <c r="AL221" s="255">
        <f t="shared" si="129"/>
      </c>
      <c r="AM221" s="120">
        <f ca="1" t="shared" si="155"/>
        <v>0</v>
      </c>
      <c r="AN221" s="120" t="e">
        <f t="shared" si="130"/>
        <v>#N/A</v>
      </c>
      <c r="AO221" s="120">
        <f>ROWS($AO$4:AO221)-1</f>
        <v>217</v>
      </c>
      <c r="AP221" s="255" t="e">
        <f t="shared" si="156"/>
        <v>#N/A</v>
      </c>
      <c r="AQ221" s="120" t="e">
        <f t="shared" si="131"/>
        <v>#N/A</v>
      </c>
      <c r="AR221" s="120" t="e">
        <f t="shared" si="117"/>
        <v>#N/A</v>
      </c>
      <c r="AS221" s="121">
        <f t="shared" si="152"/>
        <v>1</v>
      </c>
      <c r="AT221" s="120" t="str">
        <f t="shared" si="153"/>
        <v> </v>
      </c>
      <c r="AU221" s="120" t="str">
        <f t="shared" si="154"/>
        <v> </v>
      </c>
      <c r="AV221" s="120" t="e">
        <f t="shared" si="132"/>
        <v>#N/A</v>
      </c>
      <c r="AW221" s="120" t="e">
        <f t="shared" si="133"/>
        <v>#N/A</v>
      </c>
      <c r="AX221" s="120">
        <f t="shared" si="134"/>
      </c>
      <c r="AY221" s="120" t="e">
        <f t="shared" si="135"/>
        <v>#N/A</v>
      </c>
      <c r="AZ221" s="120" t="e">
        <f>VLOOKUP(AY221,'排出係数表'!$A$4:$C$202,2,FALSE)</f>
        <v>#N/A</v>
      </c>
      <c r="BA221" s="120" t="e">
        <f t="shared" si="136"/>
        <v>#N/A</v>
      </c>
      <c r="BB221" s="120" t="e">
        <f>VLOOKUP(AY221,'排出係数表'!$A$4:$C$202,3,FALSE)</f>
        <v>#N/A</v>
      </c>
      <c r="BC221" s="120" t="e">
        <f t="shared" si="137"/>
        <v>#N/A</v>
      </c>
      <c r="BD221" s="120">
        <f t="shared" si="148"/>
        <v>1</v>
      </c>
      <c r="BE221" s="122">
        <f t="shared" si="138"/>
      </c>
      <c r="BF221" s="123" t="e">
        <f t="shared" si="119"/>
        <v>#VALUE!</v>
      </c>
      <c r="BG221" s="122">
        <f t="shared" si="149"/>
      </c>
      <c r="BH221" s="120" t="e">
        <f t="shared" si="150"/>
        <v>#VALUE!</v>
      </c>
      <c r="BI221" s="120" t="e">
        <f t="shared" si="151"/>
        <v>#VALUE!</v>
      </c>
      <c r="BJ221" s="122" t="e">
        <f>VLOOKUP(AY221,'排出係数表'!$A$4:$D$202,4)</f>
        <v>#N/A</v>
      </c>
      <c r="BK221" s="257">
        <f t="shared" si="157"/>
      </c>
    </row>
    <row r="222" spans="1:63" s="124" customFormat="1" ht="13.5" customHeight="1">
      <c r="A222" s="120"/>
      <c r="B222" s="120"/>
      <c r="C222" s="155"/>
      <c r="D222" s="155"/>
      <c r="E222" s="155"/>
      <c r="F222" s="155"/>
      <c r="G222" s="156"/>
      <c r="H222" s="157"/>
      <c r="I222" s="155"/>
      <c r="J222" s="155"/>
      <c r="K222" s="158"/>
      <c r="L222" s="159"/>
      <c r="M222" s="244"/>
      <c r="N222" s="155"/>
      <c r="O222" s="345">
        <f t="shared" si="139"/>
      </c>
      <c r="P222" s="345">
        <f t="shared" si="125"/>
      </c>
      <c r="Q222" s="508"/>
      <c r="R222" s="346"/>
      <c r="S222" s="347"/>
      <c r="T222" s="348"/>
      <c r="U222" s="347"/>
      <c r="V222" s="348"/>
      <c r="W222" s="347"/>
      <c r="X222" s="348"/>
      <c r="Y222" s="347"/>
      <c r="Z222" s="348"/>
      <c r="AA222" s="340" t="e">
        <f t="shared" si="126"/>
        <v>#N/A</v>
      </c>
      <c r="AB222" s="339">
        <f t="shared" si="140"/>
      </c>
      <c r="AC222" s="339">
        <f t="shared" si="141"/>
      </c>
      <c r="AD222" s="255">
        <f t="shared" si="142"/>
      </c>
      <c r="AE222" s="256">
        <f t="shared" si="143"/>
      </c>
      <c r="AF222" s="256">
        <f t="shared" si="144"/>
      </c>
      <c r="AG222" s="255">
        <f t="shared" si="145"/>
      </c>
      <c r="AH222" s="255">
        <f t="shared" si="127"/>
      </c>
      <c r="AI222" s="255">
        <f t="shared" si="146"/>
      </c>
      <c r="AJ222" s="255">
        <f t="shared" si="147"/>
      </c>
      <c r="AK222" s="255">
        <f t="shared" si="128"/>
      </c>
      <c r="AL222" s="255">
        <f t="shared" si="129"/>
      </c>
      <c r="AM222" s="120">
        <f ca="1" t="shared" si="155"/>
        <v>0</v>
      </c>
      <c r="AN222" s="120" t="e">
        <f t="shared" si="130"/>
        <v>#N/A</v>
      </c>
      <c r="AO222" s="120">
        <f>ROWS($AO$4:AO222)-1</f>
        <v>218</v>
      </c>
      <c r="AP222" s="255" t="e">
        <f t="shared" si="156"/>
        <v>#N/A</v>
      </c>
      <c r="AQ222" s="120" t="e">
        <f t="shared" si="131"/>
        <v>#N/A</v>
      </c>
      <c r="AR222" s="120" t="e">
        <f t="shared" si="117"/>
        <v>#N/A</v>
      </c>
      <c r="AS222" s="121">
        <f t="shared" si="152"/>
        <v>1</v>
      </c>
      <c r="AT222" s="120" t="str">
        <f t="shared" si="153"/>
        <v> </v>
      </c>
      <c r="AU222" s="120" t="str">
        <f t="shared" si="154"/>
        <v> </v>
      </c>
      <c r="AV222" s="120" t="e">
        <f t="shared" si="132"/>
        <v>#N/A</v>
      </c>
      <c r="AW222" s="120" t="e">
        <f t="shared" si="133"/>
        <v>#N/A</v>
      </c>
      <c r="AX222" s="120">
        <f t="shared" si="134"/>
      </c>
      <c r="AY222" s="120" t="e">
        <f t="shared" si="135"/>
        <v>#N/A</v>
      </c>
      <c r="AZ222" s="120" t="e">
        <f>VLOOKUP(AY222,'排出係数表'!$A$4:$C$202,2,FALSE)</f>
        <v>#N/A</v>
      </c>
      <c r="BA222" s="120" t="e">
        <f t="shared" si="136"/>
        <v>#N/A</v>
      </c>
      <c r="BB222" s="120" t="e">
        <f>VLOOKUP(AY222,'排出係数表'!$A$4:$C$202,3,FALSE)</f>
        <v>#N/A</v>
      </c>
      <c r="BC222" s="120" t="e">
        <f t="shared" si="137"/>
        <v>#N/A</v>
      </c>
      <c r="BD222" s="120">
        <f t="shared" si="148"/>
        <v>1</v>
      </c>
      <c r="BE222" s="122">
        <f t="shared" si="138"/>
      </c>
      <c r="BF222" s="123" t="e">
        <f aca="true" t="shared" si="158" ref="BF222:BF303">VALUE(LEFT(J222,2))</f>
        <v>#VALUE!</v>
      </c>
      <c r="BG222" s="122">
        <f t="shared" si="149"/>
      </c>
      <c r="BH222" s="120" t="e">
        <f t="shared" si="150"/>
        <v>#VALUE!</v>
      </c>
      <c r="BI222" s="120" t="e">
        <f t="shared" si="151"/>
        <v>#VALUE!</v>
      </c>
      <c r="BJ222" s="122" t="e">
        <f>VLOOKUP(AY222,'排出係数表'!$A$4:$D$202,4)</f>
        <v>#N/A</v>
      </c>
      <c r="BK222" s="257">
        <f t="shared" si="157"/>
      </c>
    </row>
    <row r="223" spans="1:63" s="124" customFormat="1" ht="13.5" customHeight="1">
      <c r="A223" s="120"/>
      <c r="B223" s="120"/>
      <c r="C223" s="155"/>
      <c r="D223" s="155"/>
      <c r="E223" s="155"/>
      <c r="F223" s="155"/>
      <c r="G223" s="156"/>
      <c r="H223" s="157"/>
      <c r="I223" s="155"/>
      <c r="J223" s="155"/>
      <c r="K223" s="158"/>
      <c r="L223" s="159"/>
      <c r="M223" s="244"/>
      <c r="N223" s="155"/>
      <c r="O223" s="345">
        <f t="shared" si="139"/>
      </c>
      <c r="P223" s="345">
        <f t="shared" si="125"/>
      </c>
      <c r="Q223" s="508"/>
      <c r="R223" s="346"/>
      <c r="S223" s="347"/>
      <c r="T223" s="348"/>
      <c r="U223" s="347"/>
      <c r="V223" s="348"/>
      <c r="W223" s="347"/>
      <c r="X223" s="348"/>
      <c r="Y223" s="347"/>
      <c r="Z223" s="348"/>
      <c r="AA223" s="340" t="e">
        <f t="shared" si="126"/>
        <v>#N/A</v>
      </c>
      <c r="AB223" s="339">
        <f t="shared" si="140"/>
      </c>
      <c r="AC223" s="339">
        <f t="shared" si="141"/>
      </c>
      <c r="AD223" s="255">
        <f t="shared" si="142"/>
      </c>
      <c r="AE223" s="256">
        <f t="shared" si="143"/>
      </c>
      <c r="AF223" s="256">
        <f t="shared" si="144"/>
      </c>
      <c r="AG223" s="255">
        <f t="shared" si="145"/>
      </c>
      <c r="AH223" s="255">
        <f t="shared" si="127"/>
      </c>
      <c r="AI223" s="255">
        <f t="shared" si="146"/>
      </c>
      <c r="AJ223" s="255">
        <f t="shared" si="147"/>
      </c>
      <c r="AK223" s="255">
        <f t="shared" si="128"/>
      </c>
      <c r="AL223" s="255">
        <f t="shared" si="129"/>
      </c>
      <c r="AM223" s="120">
        <f ca="1" t="shared" si="155"/>
        <v>0</v>
      </c>
      <c r="AN223" s="120" t="e">
        <f t="shared" si="130"/>
        <v>#N/A</v>
      </c>
      <c r="AO223" s="120">
        <f>ROWS($AO$4:AO223)-1</f>
        <v>219</v>
      </c>
      <c r="AP223" s="255" t="e">
        <f t="shared" si="156"/>
        <v>#N/A</v>
      </c>
      <c r="AQ223" s="120" t="e">
        <f t="shared" si="131"/>
        <v>#N/A</v>
      </c>
      <c r="AR223" s="120" t="e">
        <f t="shared" si="117"/>
        <v>#N/A</v>
      </c>
      <c r="AS223" s="121">
        <f t="shared" si="152"/>
        <v>1</v>
      </c>
      <c r="AT223" s="120" t="str">
        <f t="shared" si="153"/>
        <v> </v>
      </c>
      <c r="AU223" s="120" t="str">
        <f t="shared" si="154"/>
        <v> </v>
      </c>
      <c r="AV223" s="120" t="e">
        <f t="shared" si="132"/>
        <v>#N/A</v>
      </c>
      <c r="AW223" s="120" t="e">
        <f t="shared" si="133"/>
        <v>#N/A</v>
      </c>
      <c r="AX223" s="120">
        <f t="shared" si="134"/>
      </c>
      <c r="AY223" s="120" t="e">
        <f t="shared" si="135"/>
        <v>#N/A</v>
      </c>
      <c r="AZ223" s="120" t="e">
        <f>VLOOKUP(AY223,'排出係数表'!$A$4:$C$202,2,FALSE)</f>
        <v>#N/A</v>
      </c>
      <c r="BA223" s="120" t="e">
        <f t="shared" si="136"/>
        <v>#N/A</v>
      </c>
      <c r="BB223" s="120" t="e">
        <f>VLOOKUP(AY223,'排出係数表'!$A$4:$C$202,3,FALSE)</f>
        <v>#N/A</v>
      </c>
      <c r="BC223" s="120" t="e">
        <f t="shared" si="137"/>
        <v>#N/A</v>
      </c>
      <c r="BD223" s="120">
        <f t="shared" si="148"/>
        <v>1</v>
      </c>
      <c r="BE223" s="122">
        <f t="shared" si="138"/>
      </c>
      <c r="BF223" s="123" t="e">
        <f t="shared" si="158"/>
        <v>#VALUE!</v>
      </c>
      <c r="BG223" s="122">
        <f t="shared" si="149"/>
      </c>
      <c r="BH223" s="120" t="e">
        <f t="shared" si="150"/>
        <v>#VALUE!</v>
      </c>
      <c r="BI223" s="120" t="e">
        <f t="shared" si="151"/>
        <v>#VALUE!</v>
      </c>
      <c r="BJ223" s="122" t="e">
        <f>VLOOKUP(AY223,'排出係数表'!$A$4:$D$202,4)</f>
        <v>#N/A</v>
      </c>
      <c r="BK223" s="257">
        <f t="shared" si="157"/>
      </c>
    </row>
    <row r="224" spans="1:63" s="124" customFormat="1" ht="13.5" customHeight="1">
      <c r="A224" s="120"/>
      <c r="B224" s="120"/>
      <c r="C224" s="155"/>
      <c r="D224" s="155"/>
      <c r="E224" s="155"/>
      <c r="F224" s="155"/>
      <c r="G224" s="156"/>
      <c r="H224" s="157"/>
      <c r="I224" s="155"/>
      <c r="J224" s="155"/>
      <c r="K224" s="158"/>
      <c r="L224" s="159"/>
      <c r="M224" s="244"/>
      <c r="N224" s="155"/>
      <c r="O224" s="345">
        <f t="shared" si="139"/>
      </c>
      <c r="P224" s="345">
        <f t="shared" si="125"/>
      </c>
      <c r="Q224" s="508"/>
      <c r="R224" s="346"/>
      <c r="S224" s="347"/>
      <c r="T224" s="348"/>
      <c r="U224" s="347"/>
      <c r="V224" s="348"/>
      <c r="W224" s="347"/>
      <c r="X224" s="348"/>
      <c r="Y224" s="347"/>
      <c r="Z224" s="348"/>
      <c r="AA224" s="340" t="e">
        <f t="shared" si="126"/>
        <v>#N/A</v>
      </c>
      <c r="AB224" s="339">
        <f t="shared" si="140"/>
      </c>
      <c r="AC224" s="339">
        <f t="shared" si="141"/>
      </c>
      <c r="AD224" s="255">
        <f t="shared" si="142"/>
      </c>
      <c r="AE224" s="256">
        <f t="shared" si="143"/>
      </c>
      <c r="AF224" s="256">
        <f t="shared" si="144"/>
      </c>
      <c r="AG224" s="255">
        <f t="shared" si="145"/>
      </c>
      <c r="AH224" s="255">
        <f t="shared" si="127"/>
      </c>
      <c r="AI224" s="255">
        <f t="shared" si="146"/>
      </c>
      <c r="AJ224" s="255">
        <f t="shared" si="147"/>
      </c>
      <c r="AK224" s="255">
        <f t="shared" si="128"/>
      </c>
      <c r="AL224" s="255">
        <f t="shared" si="129"/>
      </c>
      <c r="AM224" s="120">
        <f ca="1" t="shared" si="155"/>
        <v>0</v>
      </c>
      <c r="AN224" s="120" t="e">
        <f t="shared" si="130"/>
        <v>#N/A</v>
      </c>
      <c r="AO224" s="120">
        <f>ROWS($AO$4:AO224)-1</f>
        <v>220</v>
      </c>
      <c r="AP224" s="255" t="e">
        <f t="shared" si="156"/>
        <v>#N/A</v>
      </c>
      <c r="AQ224" s="120" t="e">
        <f t="shared" si="131"/>
        <v>#N/A</v>
      </c>
      <c r="AR224" s="120" t="e">
        <f t="shared" si="117"/>
        <v>#N/A</v>
      </c>
      <c r="AS224" s="121">
        <f t="shared" si="152"/>
        <v>1</v>
      </c>
      <c r="AT224" s="120" t="str">
        <f t="shared" si="153"/>
        <v> </v>
      </c>
      <c r="AU224" s="120" t="str">
        <f t="shared" si="154"/>
        <v> </v>
      </c>
      <c r="AV224" s="120" t="e">
        <f t="shared" si="132"/>
        <v>#N/A</v>
      </c>
      <c r="AW224" s="120" t="e">
        <f t="shared" si="133"/>
        <v>#N/A</v>
      </c>
      <c r="AX224" s="120">
        <f t="shared" si="134"/>
      </c>
      <c r="AY224" s="120" t="e">
        <f t="shared" si="135"/>
        <v>#N/A</v>
      </c>
      <c r="AZ224" s="120" t="e">
        <f>VLOOKUP(AY224,'排出係数表'!$A$4:$C$202,2,FALSE)</f>
        <v>#N/A</v>
      </c>
      <c r="BA224" s="120" t="e">
        <f t="shared" si="136"/>
        <v>#N/A</v>
      </c>
      <c r="BB224" s="120" t="e">
        <f>VLOOKUP(AY224,'排出係数表'!$A$4:$C$202,3,FALSE)</f>
        <v>#N/A</v>
      </c>
      <c r="BC224" s="120" t="e">
        <f t="shared" si="137"/>
        <v>#N/A</v>
      </c>
      <c r="BD224" s="120">
        <f t="shared" si="148"/>
        <v>1</v>
      </c>
      <c r="BE224" s="122">
        <f t="shared" si="138"/>
      </c>
      <c r="BF224" s="123" t="e">
        <f t="shared" si="158"/>
        <v>#VALUE!</v>
      </c>
      <c r="BG224" s="122">
        <f t="shared" si="149"/>
      </c>
      <c r="BH224" s="120" t="e">
        <f t="shared" si="150"/>
        <v>#VALUE!</v>
      </c>
      <c r="BI224" s="120" t="e">
        <f t="shared" si="151"/>
        <v>#VALUE!</v>
      </c>
      <c r="BJ224" s="122" t="e">
        <f>VLOOKUP(AY224,'排出係数表'!$A$4:$D$202,4)</f>
        <v>#N/A</v>
      </c>
      <c r="BK224" s="257">
        <f t="shared" si="157"/>
      </c>
    </row>
    <row r="225" spans="1:63" s="124" customFormat="1" ht="13.5" customHeight="1">
      <c r="A225" s="120"/>
      <c r="B225" s="120"/>
      <c r="C225" s="155"/>
      <c r="D225" s="155"/>
      <c r="E225" s="155"/>
      <c r="F225" s="155"/>
      <c r="G225" s="156"/>
      <c r="H225" s="157"/>
      <c r="I225" s="155"/>
      <c r="J225" s="155"/>
      <c r="K225" s="158"/>
      <c r="L225" s="159"/>
      <c r="M225" s="244"/>
      <c r="N225" s="155"/>
      <c r="O225" s="345">
        <f t="shared" si="139"/>
      </c>
      <c r="P225" s="345">
        <f t="shared" si="125"/>
      </c>
      <c r="Q225" s="508"/>
      <c r="R225" s="346"/>
      <c r="S225" s="347"/>
      <c r="T225" s="348"/>
      <c r="U225" s="347"/>
      <c r="V225" s="348"/>
      <c r="W225" s="347"/>
      <c r="X225" s="348"/>
      <c r="Y225" s="347"/>
      <c r="Z225" s="348"/>
      <c r="AA225" s="340" t="e">
        <f t="shared" si="126"/>
        <v>#N/A</v>
      </c>
      <c r="AB225" s="339">
        <f t="shared" si="140"/>
      </c>
      <c r="AC225" s="339">
        <f t="shared" si="141"/>
      </c>
      <c r="AD225" s="255">
        <f t="shared" si="142"/>
      </c>
      <c r="AE225" s="256">
        <f t="shared" si="143"/>
      </c>
      <c r="AF225" s="256">
        <f t="shared" si="144"/>
      </c>
      <c r="AG225" s="255">
        <f t="shared" si="145"/>
      </c>
      <c r="AH225" s="255">
        <f t="shared" si="127"/>
      </c>
      <c r="AI225" s="255">
        <f t="shared" si="146"/>
      </c>
      <c r="AJ225" s="255">
        <f t="shared" si="147"/>
      </c>
      <c r="AK225" s="255">
        <f t="shared" si="128"/>
      </c>
      <c r="AL225" s="255">
        <f t="shared" si="129"/>
      </c>
      <c r="AM225" s="120">
        <f ca="1" t="shared" si="155"/>
        <v>0</v>
      </c>
      <c r="AN225" s="120" t="e">
        <f t="shared" si="130"/>
        <v>#N/A</v>
      </c>
      <c r="AO225" s="120">
        <f>ROWS($AO$4:AO225)-1</f>
        <v>221</v>
      </c>
      <c r="AP225" s="255" t="e">
        <f t="shared" si="156"/>
        <v>#N/A</v>
      </c>
      <c r="AQ225" s="120" t="e">
        <f t="shared" si="131"/>
        <v>#N/A</v>
      </c>
      <c r="AR225" s="120" t="e">
        <f t="shared" si="117"/>
        <v>#N/A</v>
      </c>
      <c r="AS225" s="121">
        <f t="shared" si="152"/>
        <v>1</v>
      </c>
      <c r="AT225" s="120" t="str">
        <f t="shared" si="153"/>
        <v> </v>
      </c>
      <c r="AU225" s="120" t="str">
        <f t="shared" si="154"/>
        <v> </v>
      </c>
      <c r="AV225" s="120" t="e">
        <f t="shared" si="132"/>
        <v>#N/A</v>
      </c>
      <c r="AW225" s="120" t="e">
        <f t="shared" si="133"/>
        <v>#N/A</v>
      </c>
      <c r="AX225" s="120">
        <f t="shared" si="134"/>
      </c>
      <c r="AY225" s="120" t="e">
        <f t="shared" si="135"/>
        <v>#N/A</v>
      </c>
      <c r="AZ225" s="120" t="e">
        <f>VLOOKUP(AY225,'排出係数表'!$A$4:$C$202,2,FALSE)</f>
        <v>#N/A</v>
      </c>
      <c r="BA225" s="120" t="e">
        <f t="shared" si="136"/>
        <v>#N/A</v>
      </c>
      <c r="BB225" s="120" t="e">
        <f>VLOOKUP(AY225,'排出係数表'!$A$4:$C$202,3,FALSE)</f>
        <v>#N/A</v>
      </c>
      <c r="BC225" s="120" t="e">
        <f t="shared" si="137"/>
        <v>#N/A</v>
      </c>
      <c r="BD225" s="120">
        <f t="shared" si="148"/>
        <v>1</v>
      </c>
      <c r="BE225" s="122">
        <f t="shared" si="138"/>
      </c>
      <c r="BF225" s="123" t="e">
        <f t="shared" si="158"/>
        <v>#VALUE!</v>
      </c>
      <c r="BG225" s="122">
        <f t="shared" si="149"/>
      </c>
      <c r="BH225" s="120" t="e">
        <f t="shared" si="150"/>
        <v>#VALUE!</v>
      </c>
      <c r="BI225" s="120" t="e">
        <f t="shared" si="151"/>
        <v>#VALUE!</v>
      </c>
      <c r="BJ225" s="122" t="e">
        <f>VLOOKUP(AY225,'排出係数表'!$A$4:$D$202,4)</f>
        <v>#N/A</v>
      </c>
      <c r="BK225" s="257">
        <f t="shared" si="157"/>
      </c>
    </row>
    <row r="226" spans="1:63" s="124" customFormat="1" ht="13.5" customHeight="1">
      <c r="A226" s="120"/>
      <c r="B226" s="120"/>
      <c r="C226" s="155"/>
      <c r="D226" s="155"/>
      <c r="E226" s="155"/>
      <c r="F226" s="155"/>
      <c r="G226" s="156"/>
      <c r="H226" s="157"/>
      <c r="I226" s="155"/>
      <c r="J226" s="155"/>
      <c r="K226" s="158"/>
      <c r="L226" s="159"/>
      <c r="M226" s="244"/>
      <c r="N226" s="155"/>
      <c r="O226" s="345">
        <f t="shared" si="139"/>
      </c>
      <c r="P226" s="345">
        <f t="shared" si="125"/>
      </c>
      <c r="Q226" s="508"/>
      <c r="R226" s="346"/>
      <c r="S226" s="347"/>
      <c r="T226" s="348"/>
      <c r="U226" s="347"/>
      <c r="V226" s="348"/>
      <c r="W226" s="347"/>
      <c r="X226" s="348"/>
      <c r="Y226" s="347"/>
      <c r="Z226" s="348"/>
      <c r="AA226" s="340" t="e">
        <f t="shared" si="126"/>
        <v>#N/A</v>
      </c>
      <c r="AB226" s="339">
        <f t="shared" si="140"/>
      </c>
      <c r="AC226" s="339">
        <f t="shared" si="141"/>
      </c>
      <c r="AD226" s="255">
        <f t="shared" si="142"/>
      </c>
      <c r="AE226" s="256">
        <f t="shared" si="143"/>
      </c>
      <c r="AF226" s="256">
        <f t="shared" si="144"/>
      </c>
      <c r="AG226" s="255">
        <f t="shared" si="145"/>
      </c>
      <c r="AH226" s="255">
        <f t="shared" si="127"/>
      </c>
      <c r="AI226" s="255">
        <f t="shared" si="146"/>
      </c>
      <c r="AJ226" s="255">
        <f t="shared" si="147"/>
      </c>
      <c r="AK226" s="255">
        <f t="shared" si="128"/>
      </c>
      <c r="AL226" s="255">
        <f t="shared" si="129"/>
      </c>
      <c r="AM226" s="120">
        <f ca="1" t="shared" si="155"/>
        <v>0</v>
      </c>
      <c r="AN226" s="120" t="e">
        <f t="shared" si="130"/>
        <v>#N/A</v>
      </c>
      <c r="AO226" s="120">
        <f>ROWS($AO$4:AO226)-1</f>
        <v>222</v>
      </c>
      <c r="AP226" s="255" t="e">
        <f t="shared" si="156"/>
        <v>#N/A</v>
      </c>
      <c r="AQ226" s="120" t="e">
        <f t="shared" si="131"/>
        <v>#N/A</v>
      </c>
      <c r="AR226" s="120" t="e">
        <f t="shared" si="117"/>
        <v>#N/A</v>
      </c>
      <c r="AS226" s="121">
        <f t="shared" si="152"/>
        <v>1</v>
      </c>
      <c r="AT226" s="120" t="str">
        <f t="shared" si="153"/>
        <v> </v>
      </c>
      <c r="AU226" s="120" t="str">
        <f t="shared" si="154"/>
        <v> </v>
      </c>
      <c r="AV226" s="120" t="e">
        <f t="shared" si="132"/>
        <v>#N/A</v>
      </c>
      <c r="AW226" s="120" t="e">
        <f t="shared" si="133"/>
        <v>#N/A</v>
      </c>
      <c r="AX226" s="120">
        <f t="shared" si="134"/>
      </c>
      <c r="AY226" s="120" t="e">
        <f t="shared" si="135"/>
        <v>#N/A</v>
      </c>
      <c r="AZ226" s="120" t="e">
        <f>VLOOKUP(AY226,'排出係数表'!$A$4:$C$202,2,FALSE)</f>
        <v>#N/A</v>
      </c>
      <c r="BA226" s="120" t="e">
        <f t="shared" si="136"/>
        <v>#N/A</v>
      </c>
      <c r="BB226" s="120" t="e">
        <f>VLOOKUP(AY226,'排出係数表'!$A$4:$C$202,3,FALSE)</f>
        <v>#N/A</v>
      </c>
      <c r="BC226" s="120" t="e">
        <f t="shared" si="137"/>
        <v>#N/A</v>
      </c>
      <c r="BD226" s="120">
        <f t="shared" si="148"/>
        <v>1</v>
      </c>
      <c r="BE226" s="122">
        <f t="shared" si="138"/>
      </c>
      <c r="BF226" s="123" t="e">
        <f t="shared" si="158"/>
        <v>#VALUE!</v>
      </c>
      <c r="BG226" s="122">
        <f t="shared" si="149"/>
      </c>
      <c r="BH226" s="120" t="e">
        <f t="shared" si="150"/>
        <v>#VALUE!</v>
      </c>
      <c r="BI226" s="120" t="e">
        <f t="shared" si="151"/>
        <v>#VALUE!</v>
      </c>
      <c r="BJ226" s="122" t="e">
        <f>VLOOKUP(AY226,'排出係数表'!$A$4:$D$202,4)</f>
        <v>#N/A</v>
      </c>
      <c r="BK226" s="257">
        <f t="shared" si="157"/>
      </c>
    </row>
    <row r="227" spans="1:63" s="124" customFormat="1" ht="13.5" customHeight="1">
      <c r="A227" s="120"/>
      <c r="B227" s="120"/>
      <c r="C227" s="155"/>
      <c r="D227" s="155"/>
      <c r="E227" s="155"/>
      <c r="F227" s="155"/>
      <c r="G227" s="156"/>
      <c r="H227" s="157"/>
      <c r="I227" s="155"/>
      <c r="J227" s="155"/>
      <c r="K227" s="158"/>
      <c r="L227" s="159"/>
      <c r="M227" s="244"/>
      <c r="N227" s="155"/>
      <c r="O227" s="345">
        <f t="shared" si="139"/>
      </c>
      <c r="P227" s="345">
        <f t="shared" si="125"/>
      </c>
      <c r="Q227" s="508"/>
      <c r="R227" s="346"/>
      <c r="S227" s="347"/>
      <c r="T227" s="348"/>
      <c r="U227" s="347"/>
      <c r="V227" s="348"/>
      <c r="W227" s="347"/>
      <c r="X227" s="348"/>
      <c r="Y227" s="347"/>
      <c r="Z227" s="348"/>
      <c r="AA227" s="340" t="e">
        <f t="shared" si="126"/>
        <v>#N/A</v>
      </c>
      <c r="AB227" s="339">
        <f t="shared" si="140"/>
      </c>
      <c r="AC227" s="339">
        <f t="shared" si="141"/>
      </c>
      <c r="AD227" s="255">
        <f t="shared" si="142"/>
      </c>
      <c r="AE227" s="256">
        <f t="shared" si="143"/>
      </c>
      <c r="AF227" s="256">
        <f t="shared" si="144"/>
      </c>
      <c r="AG227" s="255">
        <f t="shared" si="145"/>
      </c>
      <c r="AH227" s="255">
        <f t="shared" si="127"/>
      </c>
      <c r="AI227" s="255">
        <f t="shared" si="146"/>
      </c>
      <c r="AJ227" s="255">
        <f t="shared" si="147"/>
      </c>
      <c r="AK227" s="255">
        <f t="shared" si="128"/>
      </c>
      <c r="AL227" s="255">
        <f t="shared" si="129"/>
      </c>
      <c r="AM227" s="120">
        <f ca="1" t="shared" si="155"/>
        <v>0</v>
      </c>
      <c r="AN227" s="120" t="e">
        <f t="shared" si="130"/>
        <v>#N/A</v>
      </c>
      <c r="AO227" s="120">
        <f>ROWS($AO$4:AO227)-1</f>
        <v>223</v>
      </c>
      <c r="AP227" s="255" t="e">
        <f t="shared" si="156"/>
        <v>#N/A</v>
      </c>
      <c r="AQ227" s="120" t="e">
        <f t="shared" si="131"/>
        <v>#N/A</v>
      </c>
      <c r="AR227" s="120" t="e">
        <f t="shared" si="117"/>
        <v>#N/A</v>
      </c>
      <c r="AS227" s="121">
        <f t="shared" si="152"/>
        <v>1</v>
      </c>
      <c r="AT227" s="120" t="str">
        <f t="shared" si="153"/>
        <v> </v>
      </c>
      <c r="AU227" s="120" t="str">
        <f t="shared" si="154"/>
        <v> </v>
      </c>
      <c r="AV227" s="120" t="e">
        <f t="shared" si="132"/>
        <v>#N/A</v>
      </c>
      <c r="AW227" s="120" t="e">
        <f t="shared" si="133"/>
        <v>#N/A</v>
      </c>
      <c r="AX227" s="120">
        <f t="shared" si="134"/>
      </c>
      <c r="AY227" s="120" t="e">
        <f t="shared" si="135"/>
        <v>#N/A</v>
      </c>
      <c r="AZ227" s="120" t="e">
        <f>VLOOKUP(AY227,'排出係数表'!$A$4:$C$202,2,FALSE)</f>
        <v>#N/A</v>
      </c>
      <c r="BA227" s="120" t="e">
        <f t="shared" si="136"/>
        <v>#N/A</v>
      </c>
      <c r="BB227" s="120" t="e">
        <f>VLOOKUP(AY227,'排出係数表'!$A$4:$C$202,3,FALSE)</f>
        <v>#N/A</v>
      </c>
      <c r="BC227" s="120" t="e">
        <f t="shared" si="137"/>
        <v>#N/A</v>
      </c>
      <c r="BD227" s="120">
        <f t="shared" si="148"/>
        <v>1</v>
      </c>
      <c r="BE227" s="122">
        <f t="shared" si="138"/>
      </c>
      <c r="BF227" s="123" t="e">
        <f t="shared" si="158"/>
        <v>#VALUE!</v>
      </c>
      <c r="BG227" s="122">
        <f t="shared" si="149"/>
      </c>
      <c r="BH227" s="120" t="e">
        <f t="shared" si="150"/>
        <v>#VALUE!</v>
      </c>
      <c r="BI227" s="120" t="e">
        <f t="shared" si="151"/>
        <v>#VALUE!</v>
      </c>
      <c r="BJ227" s="122" t="e">
        <f>VLOOKUP(AY227,'排出係数表'!$A$4:$D$202,4)</f>
        <v>#N/A</v>
      </c>
      <c r="BK227" s="257">
        <f t="shared" si="157"/>
      </c>
    </row>
    <row r="228" spans="1:63" s="124" customFormat="1" ht="13.5" customHeight="1">
      <c r="A228" s="120"/>
      <c r="B228" s="120"/>
      <c r="C228" s="155"/>
      <c r="D228" s="155"/>
      <c r="E228" s="155"/>
      <c r="F228" s="155"/>
      <c r="G228" s="156"/>
      <c r="H228" s="157"/>
      <c r="I228" s="155"/>
      <c r="J228" s="155"/>
      <c r="K228" s="158"/>
      <c r="L228" s="159"/>
      <c r="M228" s="244"/>
      <c r="N228" s="155"/>
      <c r="O228" s="345">
        <f t="shared" si="139"/>
      </c>
      <c r="P228" s="345">
        <f t="shared" si="125"/>
      </c>
      <c r="Q228" s="508"/>
      <c r="R228" s="346"/>
      <c r="S228" s="347"/>
      <c r="T228" s="348"/>
      <c r="U228" s="347"/>
      <c r="V228" s="348"/>
      <c r="W228" s="347"/>
      <c r="X228" s="348"/>
      <c r="Y228" s="347"/>
      <c r="Z228" s="348"/>
      <c r="AA228" s="340" t="e">
        <f t="shared" si="126"/>
        <v>#N/A</v>
      </c>
      <c r="AB228" s="339">
        <f t="shared" si="140"/>
      </c>
      <c r="AC228" s="339">
        <f t="shared" si="141"/>
      </c>
      <c r="AD228" s="255">
        <f t="shared" si="142"/>
      </c>
      <c r="AE228" s="256">
        <f t="shared" si="143"/>
      </c>
      <c r="AF228" s="256">
        <f t="shared" si="144"/>
      </c>
      <c r="AG228" s="255">
        <f t="shared" si="145"/>
      </c>
      <c r="AH228" s="255">
        <f t="shared" si="127"/>
      </c>
      <c r="AI228" s="255">
        <f t="shared" si="146"/>
      </c>
      <c r="AJ228" s="255">
        <f t="shared" si="147"/>
      </c>
      <c r="AK228" s="255">
        <f t="shared" si="128"/>
      </c>
      <c r="AL228" s="255">
        <f t="shared" si="129"/>
      </c>
      <c r="AM228" s="120">
        <f ca="1" t="shared" si="155"/>
        <v>0</v>
      </c>
      <c r="AN228" s="120" t="e">
        <f t="shared" si="130"/>
        <v>#N/A</v>
      </c>
      <c r="AO228" s="120">
        <f>ROWS($AO$4:AO228)-1</f>
        <v>224</v>
      </c>
      <c r="AP228" s="255" t="e">
        <f t="shared" si="156"/>
        <v>#N/A</v>
      </c>
      <c r="AQ228" s="120" t="e">
        <f t="shared" si="131"/>
        <v>#N/A</v>
      </c>
      <c r="AR228" s="120" t="e">
        <f t="shared" si="117"/>
        <v>#N/A</v>
      </c>
      <c r="AS228" s="121">
        <f t="shared" si="152"/>
        <v>1</v>
      </c>
      <c r="AT228" s="120" t="str">
        <f t="shared" si="153"/>
        <v> </v>
      </c>
      <c r="AU228" s="120" t="str">
        <f t="shared" si="154"/>
        <v> </v>
      </c>
      <c r="AV228" s="120" t="e">
        <f t="shared" si="132"/>
        <v>#N/A</v>
      </c>
      <c r="AW228" s="120" t="e">
        <f t="shared" si="133"/>
        <v>#N/A</v>
      </c>
      <c r="AX228" s="120">
        <f t="shared" si="134"/>
      </c>
      <c r="AY228" s="120" t="e">
        <f t="shared" si="135"/>
        <v>#N/A</v>
      </c>
      <c r="AZ228" s="120" t="e">
        <f>VLOOKUP(AY228,'排出係数表'!$A$4:$C$202,2,FALSE)</f>
        <v>#N/A</v>
      </c>
      <c r="BA228" s="120" t="e">
        <f t="shared" si="136"/>
        <v>#N/A</v>
      </c>
      <c r="BB228" s="120" t="e">
        <f>VLOOKUP(AY228,'排出係数表'!$A$4:$C$202,3,FALSE)</f>
        <v>#N/A</v>
      </c>
      <c r="BC228" s="120" t="e">
        <f t="shared" si="137"/>
        <v>#N/A</v>
      </c>
      <c r="BD228" s="120">
        <f t="shared" si="148"/>
        <v>1</v>
      </c>
      <c r="BE228" s="122">
        <f t="shared" si="138"/>
      </c>
      <c r="BF228" s="123" t="e">
        <f t="shared" si="158"/>
        <v>#VALUE!</v>
      </c>
      <c r="BG228" s="122">
        <f t="shared" si="149"/>
      </c>
      <c r="BH228" s="120" t="e">
        <f t="shared" si="150"/>
        <v>#VALUE!</v>
      </c>
      <c r="BI228" s="120" t="e">
        <f t="shared" si="151"/>
        <v>#VALUE!</v>
      </c>
      <c r="BJ228" s="122" t="e">
        <f>VLOOKUP(AY228,'排出係数表'!$A$4:$D$202,4)</f>
        <v>#N/A</v>
      </c>
      <c r="BK228" s="257">
        <f t="shared" si="157"/>
      </c>
    </row>
    <row r="229" spans="1:63" s="124" customFormat="1" ht="13.5" customHeight="1">
      <c r="A229" s="120"/>
      <c r="B229" s="120"/>
      <c r="C229" s="155"/>
      <c r="D229" s="155"/>
      <c r="E229" s="155"/>
      <c r="F229" s="155"/>
      <c r="G229" s="156"/>
      <c r="H229" s="157"/>
      <c r="I229" s="155"/>
      <c r="J229" s="155"/>
      <c r="K229" s="158"/>
      <c r="L229" s="159"/>
      <c r="M229" s="244"/>
      <c r="N229" s="155"/>
      <c r="O229" s="345">
        <f t="shared" si="139"/>
      </c>
      <c r="P229" s="345">
        <f t="shared" si="125"/>
      </c>
      <c r="Q229" s="508"/>
      <c r="R229" s="346"/>
      <c r="S229" s="347"/>
      <c r="T229" s="348"/>
      <c r="U229" s="347"/>
      <c r="V229" s="348"/>
      <c r="W229" s="347"/>
      <c r="X229" s="348"/>
      <c r="Y229" s="347"/>
      <c r="Z229" s="348"/>
      <c r="AA229" s="340" t="e">
        <f t="shared" si="126"/>
        <v>#N/A</v>
      </c>
      <c r="AB229" s="339">
        <f t="shared" si="140"/>
      </c>
      <c r="AC229" s="339">
        <f t="shared" si="141"/>
      </c>
      <c r="AD229" s="255">
        <f t="shared" si="142"/>
      </c>
      <c r="AE229" s="256">
        <f t="shared" si="143"/>
      </c>
      <c r="AF229" s="256">
        <f t="shared" si="144"/>
      </c>
      <c r="AG229" s="255">
        <f t="shared" si="145"/>
      </c>
      <c r="AH229" s="255">
        <f t="shared" si="127"/>
      </c>
      <c r="AI229" s="255">
        <f t="shared" si="146"/>
      </c>
      <c r="AJ229" s="255">
        <f t="shared" si="147"/>
      </c>
      <c r="AK229" s="255">
        <f t="shared" si="128"/>
      </c>
      <c r="AL229" s="255">
        <f t="shared" si="129"/>
      </c>
      <c r="AM229" s="120">
        <f ca="1" t="shared" si="155"/>
        <v>0</v>
      </c>
      <c r="AN229" s="120" t="e">
        <f t="shared" si="130"/>
        <v>#N/A</v>
      </c>
      <c r="AO229" s="120">
        <f>ROWS($AO$4:AO229)-1</f>
        <v>225</v>
      </c>
      <c r="AP229" s="255" t="e">
        <f t="shared" si="156"/>
        <v>#N/A</v>
      </c>
      <c r="AQ229" s="120" t="e">
        <f t="shared" si="131"/>
        <v>#N/A</v>
      </c>
      <c r="AR229" s="120" t="e">
        <f aca="true" t="shared" si="159" ref="AR229:AR292">LOOKUP(F229,種類,$M$307:$M$314)</f>
        <v>#N/A</v>
      </c>
      <c r="AS229" s="121">
        <f t="shared" si="152"/>
        <v>1</v>
      </c>
      <c r="AT229" s="120" t="str">
        <f t="shared" si="153"/>
        <v> </v>
      </c>
      <c r="AU229" s="120" t="str">
        <f t="shared" si="154"/>
        <v> </v>
      </c>
      <c r="AV229" s="120" t="e">
        <f t="shared" si="132"/>
        <v>#N/A</v>
      </c>
      <c r="AW229" s="120" t="e">
        <f t="shared" si="133"/>
        <v>#N/A</v>
      </c>
      <c r="AX229" s="120">
        <f t="shared" si="134"/>
      </c>
      <c r="AY229" s="120" t="e">
        <f t="shared" si="135"/>
        <v>#N/A</v>
      </c>
      <c r="AZ229" s="120" t="e">
        <f>VLOOKUP(AY229,'排出係数表'!$A$4:$C$202,2,FALSE)</f>
        <v>#N/A</v>
      </c>
      <c r="BA229" s="120" t="e">
        <f t="shared" si="136"/>
        <v>#N/A</v>
      </c>
      <c r="BB229" s="120" t="e">
        <f>VLOOKUP(AY229,'排出係数表'!$A$4:$C$202,3,FALSE)</f>
        <v>#N/A</v>
      </c>
      <c r="BC229" s="120" t="e">
        <f t="shared" si="137"/>
        <v>#N/A</v>
      </c>
      <c r="BD229" s="120">
        <f t="shared" si="148"/>
        <v>1</v>
      </c>
      <c r="BE229" s="122">
        <f t="shared" si="138"/>
      </c>
      <c r="BF229" s="123" t="e">
        <f t="shared" si="158"/>
        <v>#VALUE!</v>
      </c>
      <c r="BG229" s="122">
        <f t="shared" si="149"/>
      </c>
      <c r="BH229" s="120" t="e">
        <f t="shared" si="150"/>
        <v>#VALUE!</v>
      </c>
      <c r="BI229" s="120" t="e">
        <f t="shared" si="151"/>
        <v>#VALUE!</v>
      </c>
      <c r="BJ229" s="122" t="e">
        <f>VLOOKUP(AY229,'排出係数表'!$A$4:$D$202,4)</f>
        <v>#N/A</v>
      </c>
      <c r="BK229" s="257">
        <f t="shared" si="157"/>
      </c>
    </row>
    <row r="230" spans="1:63" s="124" customFormat="1" ht="13.5" customHeight="1">
      <c r="A230" s="120"/>
      <c r="B230" s="120"/>
      <c r="C230" s="155"/>
      <c r="D230" s="155"/>
      <c r="E230" s="155"/>
      <c r="F230" s="155"/>
      <c r="G230" s="156"/>
      <c r="H230" s="157"/>
      <c r="I230" s="155"/>
      <c r="J230" s="155"/>
      <c r="K230" s="158"/>
      <c r="L230" s="159"/>
      <c r="M230" s="244"/>
      <c r="N230" s="155"/>
      <c r="O230" s="345">
        <f t="shared" si="139"/>
      </c>
      <c r="P230" s="345">
        <f t="shared" si="125"/>
      </c>
      <c r="Q230" s="508"/>
      <c r="R230" s="346"/>
      <c r="S230" s="347"/>
      <c r="T230" s="348"/>
      <c r="U230" s="347"/>
      <c r="V230" s="348"/>
      <c r="W230" s="347"/>
      <c r="X230" s="348"/>
      <c r="Y230" s="347"/>
      <c r="Z230" s="348"/>
      <c r="AA230" s="340" t="e">
        <f t="shared" si="126"/>
        <v>#N/A</v>
      </c>
      <c r="AB230" s="339">
        <f t="shared" si="140"/>
      </c>
      <c r="AC230" s="339">
        <f t="shared" si="141"/>
      </c>
      <c r="AD230" s="255">
        <f t="shared" si="142"/>
      </c>
      <c r="AE230" s="256">
        <f t="shared" si="143"/>
      </c>
      <c r="AF230" s="256">
        <f t="shared" si="144"/>
      </c>
      <c r="AG230" s="255">
        <f t="shared" si="145"/>
      </c>
      <c r="AH230" s="255">
        <f t="shared" si="127"/>
      </c>
      <c r="AI230" s="255">
        <f t="shared" si="146"/>
      </c>
      <c r="AJ230" s="255">
        <f t="shared" si="147"/>
      </c>
      <c r="AK230" s="255">
        <f t="shared" si="128"/>
      </c>
      <c r="AL230" s="255">
        <f t="shared" si="129"/>
      </c>
      <c r="AM230" s="120">
        <f ca="1" t="shared" si="155"/>
        <v>0</v>
      </c>
      <c r="AN230" s="120" t="e">
        <f t="shared" si="130"/>
        <v>#N/A</v>
      </c>
      <c r="AO230" s="120">
        <f>ROWS($AO$4:AO230)-1</f>
        <v>226</v>
      </c>
      <c r="AP230" s="255" t="e">
        <f t="shared" si="156"/>
        <v>#N/A</v>
      </c>
      <c r="AQ230" s="120" t="e">
        <f t="shared" si="131"/>
        <v>#N/A</v>
      </c>
      <c r="AR230" s="120" t="e">
        <f t="shared" si="159"/>
        <v>#N/A</v>
      </c>
      <c r="AS230" s="121">
        <f t="shared" si="152"/>
        <v>1</v>
      </c>
      <c r="AT230" s="120" t="str">
        <f t="shared" si="153"/>
        <v> </v>
      </c>
      <c r="AU230" s="120" t="str">
        <f t="shared" si="154"/>
        <v> </v>
      </c>
      <c r="AV230" s="120" t="e">
        <f t="shared" si="132"/>
        <v>#N/A</v>
      </c>
      <c r="AW230" s="120" t="e">
        <f t="shared" si="133"/>
        <v>#N/A</v>
      </c>
      <c r="AX230" s="120">
        <f t="shared" si="134"/>
      </c>
      <c r="AY230" s="120" t="e">
        <f t="shared" si="135"/>
        <v>#N/A</v>
      </c>
      <c r="AZ230" s="120" t="e">
        <f>VLOOKUP(AY230,'排出係数表'!$A$4:$C$202,2,FALSE)</f>
        <v>#N/A</v>
      </c>
      <c r="BA230" s="120" t="e">
        <f t="shared" si="136"/>
        <v>#N/A</v>
      </c>
      <c r="BB230" s="120" t="e">
        <f>VLOOKUP(AY230,'排出係数表'!$A$4:$C$202,3,FALSE)</f>
        <v>#N/A</v>
      </c>
      <c r="BC230" s="120" t="e">
        <f t="shared" si="137"/>
        <v>#N/A</v>
      </c>
      <c r="BD230" s="120">
        <f t="shared" si="148"/>
        <v>1</v>
      </c>
      <c r="BE230" s="122">
        <f t="shared" si="138"/>
      </c>
      <c r="BF230" s="123" t="e">
        <f t="shared" si="158"/>
        <v>#VALUE!</v>
      </c>
      <c r="BG230" s="122">
        <f t="shared" si="149"/>
      </c>
      <c r="BH230" s="120" t="e">
        <f t="shared" si="150"/>
        <v>#VALUE!</v>
      </c>
      <c r="BI230" s="120" t="e">
        <f t="shared" si="151"/>
        <v>#VALUE!</v>
      </c>
      <c r="BJ230" s="122" t="e">
        <f>VLOOKUP(AY230,'排出係数表'!$A$4:$D$202,4)</f>
        <v>#N/A</v>
      </c>
      <c r="BK230" s="257">
        <f t="shared" si="157"/>
      </c>
    </row>
    <row r="231" spans="1:63" s="124" customFormat="1" ht="13.5" customHeight="1">
      <c r="A231" s="120"/>
      <c r="B231" s="120"/>
      <c r="C231" s="155"/>
      <c r="D231" s="155"/>
      <c r="E231" s="155"/>
      <c r="F231" s="155"/>
      <c r="G231" s="156"/>
      <c r="H231" s="157"/>
      <c r="I231" s="155"/>
      <c r="J231" s="155"/>
      <c r="K231" s="158"/>
      <c r="L231" s="159"/>
      <c r="M231" s="244"/>
      <c r="N231" s="155"/>
      <c r="O231" s="345">
        <f t="shared" si="139"/>
      </c>
      <c r="P231" s="345">
        <f t="shared" si="125"/>
      </c>
      <c r="Q231" s="508"/>
      <c r="R231" s="346"/>
      <c r="S231" s="347"/>
      <c r="T231" s="348"/>
      <c r="U231" s="347"/>
      <c r="V231" s="348"/>
      <c r="W231" s="347"/>
      <c r="X231" s="348"/>
      <c r="Y231" s="347"/>
      <c r="Z231" s="348"/>
      <c r="AA231" s="340" t="e">
        <f t="shared" si="126"/>
        <v>#N/A</v>
      </c>
      <c r="AB231" s="339">
        <f t="shared" si="140"/>
      </c>
      <c r="AC231" s="339">
        <f t="shared" si="141"/>
      </c>
      <c r="AD231" s="255">
        <f t="shared" si="142"/>
      </c>
      <c r="AE231" s="256">
        <f t="shared" si="143"/>
      </c>
      <c r="AF231" s="256">
        <f t="shared" si="144"/>
      </c>
      <c r="AG231" s="255">
        <f t="shared" si="145"/>
      </c>
      <c r="AH231" s="255">
        <f t="shared" si="127"/>
      </c>
      <c r="AI231" s="255">
        <f t="shared" si="146"/>
      </c>
      <c r="AJ231" s="255">
        <f t="shared" si="147"/>
      </c>
      <c r="AK231" s="255">
        <f t="shared" si="128"/>
      </c>
      <c r="AL231" s="255">
        <f t="shared" si="129"/>
      </c>
      <c r="AM231" s="120">
        <f ca="1" t="shared" si="155"/>
        <v>0</v>
      </c>
      <c r="AN231" s="120" t="e">
        <f t="shared" si="130"/>
        <v>#N/A</v>
      </c>
      <c r="AO231" s="120">
        <f>ROWS($AO$4:AO231)-1</f>
        <v>227</v>
      </c>
      <c r="AP231" s="255" t="e">
        <f t="shared" si="156"/>
        <v>#N/A</v>
      </c>
      <c r="AQ231" s="120" t="e">
        <f t="shared" si="131"/>
        <v>#N/A</v>
      </c>
      <c r="AR231" s="120" t="e">
        <f t="shared" si="159"/>
        <v>#N/A</v>
      </c>
      <c r="AS231" s="121">
        <f t="shared" si="152"/>
        <v>1</v>
      </c>
      <c r="AT231" s="120" t="str">
        <f t="shared" si="153"/>
        <v> </v>
      </c>
      <c r="AU231" s="120" t="str">
        <f t="shared" si="154"/>
        <v> </v>
      </c>
      <c r="AV231" s="120" t="e">
        <f t="shared" si="132"/>
        <v>#N/A</v>
      </c>
      <c r="AW231" s="120" t="e">
        <f t="shared" si="133"/>
        <v>#N/A</v>
      </c>
      <c r="AX231" s="120">
        <f t="shared" si="134"/>
      </c>
      <c r="AY231" s="120" t="e">
        <f t="shared" si="135"/>
        <v>#N/A</v>
      </c>
      <c r="AZ231" s="120" t="e">
        <f>VLOOKUP(AY231,'排出係数表'!$A$4:$C$202,2,FALSE)</f>
        <v>#N/A</v>
      </c>
      <c r="BA231" s="120" t="e">
        <f t="shared" si="136"/>
        <v>#N/A</v>
      </c>
      <c r="BB231" s="120" t="e">
        <f>VLOOKUP(AY231,'排出係数表'!$A$4:$C$202,3,FALSE)</f>
        <v>#N/A</v>
      </c>
      <c r="BC231" s="120" t="e">
        <f t="shared" si="137"/>
        <v>#N/A</v>
      </c>
      <c r="BD231" s="120">
        <f t="shared" si="148"/>
        <v>1</v>
      </c>
      <c r="BE231" s="122">
        <f t="shared" si="138"/>
      </c>
      <c r="BF231" s="123" t="e">
        <f t="shared" si="158"/>
        <v>#VALUE!</v>
      </c>
      <c r="BG231" s="122">
        <f t="shared" si="149"/>
      </c>
      <c r="BH231" s="120" t="e">
        <f t="shared" si="150"/>
        <v>#VALUE!</v>
      </c>
      <c r="BI231" s="120" t="e">
        <f t="shared" si="151"/>
        <v>#VALUE!</v>
      </c>
      <c r="BJ231" s="122" t="e">
        <f>VLOOKUP(AY231,'排出係数表'!$A$4:$D$202,4)</f>
        <v>#N/A</v>
      </c>
      <c r="BK231" s="257">
        <f t="shared" si="157"/>
      </c>
    </row>
    <row r="232" spans="1:63" s="124" customFormat="1" ht="13.5" customHeight="1">
      <c r="A232" s="120"/>
      <c r="B232" s="120"/>
      <c r="C232" s="155"/>
      <c r="D232" s="155"/>
      <c r="E232" s="155"/>
      <c r="F232" s="155"/>
      <c r="G232" s="156"/>
      <c r="H232" s="157"/>
      <c r="I232" s="155"/>
      <c r="J232" s="155"/>
      <c r="K232" s="158"/>
      <c r="L232" s="159"/>
      <c r="M232" s="244"/>
      <c r="N232" s="155"/>
      <c r="O232" s="345">
        <f t="shared" si="139"/>
      </c>
      <c r="P232" s="345">
        <f t="shared" si="125"/>
      </c>
      <c r="Q232" s="508"/>
      <c r="R232" s="346"/>
      <c r="S232" s="347"/>
      <c r="T232" s="348"/>
      <c r="U232" s="347"/>
      <c r="V232" s="348"/>
      <c r="W232" s="347"/>
      <c r="X232" s="348"/>
      <c r="Y232" s="347"/>
      <c r="Z232" s="348"/>
      <c r="AA232" s="340" t="e">
        <f t="shared" si="126"/>
        <v>#N/A</v>
      </c>
      <c r="AB232" s="339">
        <f t="shared" si="140"/>
      </c>
      <c r="AC232" s="339">
        <f t="shared" si="141"/>
      </c>
      <c r="AD232" s="255">
        <f t="shared" si="142"/>
      </c>
      <c r="AE232" s="256">
        <f t="shared" si="143"/>
      </c>
      <c r="AF232" s="256">
        <f t="shared" si="144"/>
      </c>
      <c r="AG232" s="255">
        <f t="shared" si="145"/>
      </c>
      <c r="AH232" s="255">
        <f t="shared" si="127"/>
      </c>
      <c r="AI232" s="255">
        <f t="shared" si="146"/>
      </c>
      <c r="AJ232" s="255">
        <f t="shared" si="147"/>
      </c>
      <c r="AK232" s="255">
        <f t="shared" si="128"/>
      </c>
      <c r="AL232" s="255">
        <f t="shared" si="129"/>
      </c>
      <c r="AM232" s="120">
        <f ca="1" t="shared" si="155"/>
        <v>0</v>
      </c>
      <c r="AN232" s="120" t="e">
        <f t="shared" si="130"/>
        <v>#N/A</v>
      </c>
      <c r="AO232" s="120">
        <f>ROWS($AO$4:AO232)-1</f>
        <v>228</v>
      </c>
      <c r="AP232" s="255" t="e">
        <f t="shared" si="156"/>
        <v>#N/A</v>
      </c>
      <c r="AQ232" s="120" t="e">
        <f t="shared" si="131"/>
        <v>#N/A</v>
      </c>
      <c r="AR232" s="120" t="e">
        <f t="shared" si="159"/>
        <v>#N/A</v>
      </c>
      <c r="AS232" s="121">
        <f t="shared" si="152"/>
        <v>1</v>
      </c>
      <c r="AT232" s="120" t="str">
        <f t="shared" si="153"/>
        <v> </v>
      </c>
      <c r="AU232" s="120" t="str">
        <f t="shared" si="154"/>
        <v> </v>
      </c>
      <c r="AV232" s="120" t="e">
        <f t="shared" si="132"/>
        <v>#N/A</v>
      </c>
      <c r="AW232" s="120" t="e">
        <f t="shared" si="133"/>
        <v>#N/A</v>
      </c>
      <c r="AX232" s="120">
        <f t="shared" si="134"/>
      </c>
      <c r="AY232" s="120" t="e">
        <f t="shared" si="135"/>
        <v>#N/A</v>
      </c>
      <c r="AZ232" s="120" t="e">
        <f>VLOOKUP(AY232,'排出係数表'!$A$4:$C$202,2,FALSE)</f>
        <v>#N/A</v>
      </c>
      <c r="BA232" s="120" t="e">
        <f t="shared" si="136"/>
        <v>#N/A</v>
      </c>
      <c r="BB232" s="120" t="e">
        <f>VLOOKUP(AY232,'排出係数表'!$A$4:$C$202,3,FALSE)</f>
        <v>#N/A</v>
      </c>
      <c r="BC232" s="120" t="e">
        <f t="shared" si="137"/>
        <v>#N/A</v>
      </c>
      <c r="BD232" s="120">
        <f t="shared" si="148"/>
        <v>1</v>
      </c>
      <c r="BE232" s="122">
        <f t="shared" si="138"/>
      </c>
      <c r="BF232" s="123" t="e">
        <f t="shared" si="158"/>
        <v>#VALUE!</v>
      </c>
      <c r="BG232" s="122">
        <f t="shared" si="149"/>
      </c>
      <c r="BH232" s="120" t="e">
        <f t="shared" si="150"/>
        <v>#VALUE!</v>
      </c>
      <c r="BI232" s="120" t="e">
        <f t="shared" si="151"/>
        <v>#VALUE!</v>
      </c>
      <c r="BJ232" s="122" t="e">
        <f>VLOOKUP(AY232,'排出係数表'!$A$4:$D$202,4)</f>
        <v>#N/A</v>
      </c>
      <c r="BK232" s="257">
        <f t="shared" si="157"/>
      </c>
    </row>
    <row r="233" spans="1:63" s="124" customFormat="1" ht="13.5" customHeight="1">
      <c r="A233" s="120"/>
      <c r="B233" s="120"/>
      <c r="C233" s="155"/>
      <c r="D233" s="155"/>
      <c r="E233" s="155"/>
      <c r="F233" s="155"/>
      <c r="G233" s="156"/>
      <c r="H233" s="157"/>
      <c r="I233" s="155"/>
      <c r="J233" s="155"/>
      <c r="K233" s="158"/>
      <c r="L233" s="159"/>
      <c r="M233" s="244"/>
      <c r="N233" s="155"/>
      <c r="O233" s="345">
        <f t="shared" si="139"/>
      </c>
      <c r="P233" s="345">
        <f t="shared" si="125"/>
      </c>
      <c r="Q233" s="508"/>
      <c r="R233" s="346"/>
      <c r="S233" s="347"/>
      <c r="T233" s="348"/>
      <c r="U233" s="347"/>
      <c r="V233" s="348"/>
      <c r="W233" s="347"/>
      <c r="X233" s="348"/>
      <c r="Y233" s="347"/>
      <c r="Z233" s="348"/>
      <c r="AA233" s="340" t="e">
        <f t="shared" si="126"/>
        <v>#N/A</v>
      </c>
      <c r="AB233" s="339">
        <f t="shared" si="140"/>
      </c>
      <c r="AC233" s="339">
        <f t="shared" si="141"/>
      </c>
      <c r="AD233" s="255">
        <f t="shared" si="142"/>
      </c>
      <c r="AE233" s="256">
        <f t="shared" si="143"/>
      </c>
      <c r="AF233" s="256">
        <f t="shared" si="144"/>
      </c>
      <c r="AG233" s="255">
        <f t="shared" si="145"/>
      </c>
      <c r="AH233" s="255">
        <f t="shared" si="127"/>
      </c>
      <c r="AI233" s="255">
        <f t="shared" si="146"/>
      </c>
      <c r="AJ233" s="255">
        <f t="shared" si="147"/>
      </c>
      <c r="AK233" s="255">
        <f t="shared" si="128"/>
      </c>
      <c r="AL233" s="255">
        <f t="shared" si="129"/>
      </c>
      <c r="AM233" s="120">
        <f ca="1" t="shared" si="155"/>
        <v>0</v>
      </c>
      <c r="AN233" s="120" t="e">
        <f t="shared" si="130"/>
        <v>#N/A</v>
      </c>
      <c r="AO233" s="120">
        <f>ROWS($AO$4:AO233)-1</f>
        <v>229</v>
      </c>
      <c r="AP233" s="255" t="e">
        <f t="shared" si="156"/>
        <v>#N/A</v>
      </c>
      <c r="AQ233" s="120" t="e">
        <f t="shared" si="131"/>
        <v>#N/A</v>
      </c>
      <c r="AR233" s="120" t="e">
        <f t="shared" si="159"/>
        <v>#N/A</v>
      </c>
      <c r="AS233" s="121">
        <f t="shared" si="152"/>
        <v>1</v>
      </c>
      <c r="AT233" s="120" t="str">
        <f t="shared" si="153"/>
        <v> </v>
      </c>
      <c r="AU233" s="120" t="str">
        <f t="shared" si="154"/>
        <v> </v>
      </c>
      <c r="AV233" s="120" t="e">
        <f t="shared" si="132"/>
        <v>#N/A</v>
      </c>
      <c r="AW233" s="120" t="e">
        <f t="shared" si="133"/>
        <v>#N/A</v>
      </c>
      <c r="AX233" s="120">
        <f t="shared" si="134"/>
      </c>
      <c r="AY233" s="120" t="e">
        <f t="shared" si="135"/>
        <v>#N/A</v>
      </c>
      <c r="AZ233" s="120" t="e">
        <f>VLOOKUP(AY233,'排出係数表'!$A$4:$C$202,2,FALSE)</f>
        <v>#N/A</v>
      </c>
      <c r="BA233" s="120" t="e">
        <f t="shared" si="136"/>
        <v>#N/A</v>
      </c>
      <c r="BB233" s="120" t="e">
        <f>VLOOKUP(AY233,'排出係数表'!$A$4:$C$202,3,FALSE)</f>
        <v>#N/A</v>
      </c>
      <c r="BC233" s="120" t="e">
        <f t="shared" si="137"/>
        <v>#N/A</v>
      </c>
      <c r="BD233" s="120">
        <f t="shared" si="148"/>
        <v>1</v>
      </c>
      <c r="BE233" s="122">
        <f t="shared" si="138"/>
      </c>
      <c r="BF233" s="123" t="e">
        <f t="shared" si="158"/>
        <v>#VALUE!</v>
      </c>
      <c r="BG233" s="122">
        <f t="shared" si="149"/>
      </c>
      <c r="BH233" s="120" t="e">
        <f t="shared" si="150"/>
        <v>#VALUE!</v>
      </c>
      <c r="BI233" s="120" t="e">
        <f t="shared" si="151"/>
        <v>#VALUE!</v>
      </c>
      <c r="BJ233" s="122" t="e">
        <f>VLOOKUP(AY233,'排出係数表'!$A$4:$D$202,4)</f>
        <v>#N/A</v>
      </c>
      <c r="BK233" s="257">
        <f t="shared" si="157"/>
      </c>
    </row>
    <row r="234" spans="1:63" s="124" customFormat="1" ht="13.5" customHeight="1">
      <c r="A234" s="120"/>
      <c r="B234" s="120"/>
      <c r="C234" s="155"/>
      <c r="D234" s="155"/>
      <c r="E234" s="155"/>
      <c r="F234" s="155"/>
      <c r="G234" s="156"/>
      <c r="H234" s="157"/>
      <c r="I234" s="155"/>
      <c r="J234" s="155"/>
      <c r="K234" s="158"/>
      <c r="L234" s="159"/>
      <c r="M234" s="244"/>
      <c r="N234" s="155"/>
      <c r="O234" s="345">
        <f t="shared" si="139"/>
      </c>
      <c r="P234" s="345">
        <f t="shared" si="125"/>
      </c>
      <c r="Q234" s="508"/>
      <c r="R234" s="346"/>
      <c r="S234" s="347"/>
      <c r="T234" s="348"/>
      <c r="U234" s="347"/>
      <c r="V234" s="348"/>
      <c r="W234" s="347"/>
      <c r="X234" s="348"/>
      <c r="Y234" s="347"/>
      <c r="Z234" s="348"/>
      <c r="AA234" s="340" t="e">
        <f t="shared" si="126"/>
        <v>#N/A</v>
      </c>
      <c r="AB234" s="339">
        <f t="shared" si="140"/>
      </c>
      <c r="AC234" s="339">
        <f t="shared" si="141"/>
      </c>
      <c r="AD234" s="255">
        <f t="shared" si="142"/>
      </c>
      <c r="AE234" s="256">
        <f t="shared" si="143"/>
      </c>
      <c r="AF234" s="256">
        <f t="shared" si="144"/>
      </c>
      <c r="AG234" s="255">
        <f t="shared" si="145"/>
      </c>
      <c r="AH234" s="255">
        <f t="shared" si="127"/>
      </c>
      <c r="AI234" s="255">
        <f t="shared" si="146"/>
      </c>
      <c r="AJ234" s="255">
        <f t="shared" si="147"/>
      </c>
      <c r="AK234" s="255">
        <f t="shared" si="128"/>
      </c>
      <c r="AL234" s="255">
        <f t="shared" si="129"/>
      </c>
      <c r="AM234" s="120">
        <f ca="1" t="shared" si="155"/>
        <v>0</v>
      </c>
      <c r="AN234" s="120" t="e">
        <f t="shared" si="130"/>
        <v>#N/A</v>
      </c>
      <c r="AO234" s="120">
        <f>ROWS($AO$4:AO234)-1</f>
        <v>230</v>
      </c>
      <c r="AP234" s="255" t="e">
        <f t="shared" si="156"/>
        <v>#N/A</v>
      </c>
      <c r="AQ234" s="120" t="e">
        <f t="shared" si="131"/>
        <v>#N/A</v>
      </c>
      <c r="AR234" s="120" t="e">
        <f t="shared" si="159"/>
        <v>#N/A</v>
      </c>
      <c r="AS234" s="121">
        <f t="shared" si="152"/>
        <v>1</v>
      </c>
      <c r="AT234" s="120" t="str">
        <f t="shared" si="153"/>
        <v> </v>
      </c>
      <c r="AU234" s="120" t="str">
        <f t="shared" si="154"/>
        <v> </v>
      </c>
      <c r="AV234" s="120" t="e">
        <f t="shared" si="132"/>
        <v>#N/A</v>
      </c>
      <c r="AW234" s="120" t="e">
        <f t="shared" si="133"/>
        <v>#N/A</v>
      </c>
      <c r="AX234" s="120">
        <f t="shared" si="134"/>
      </c>
      <c r="AY234" s="120" t="e">
        <f t="shared" si="135"/>
        <v>#N/A</v>
      </c>
      <c r="AZ234" s="120" t="e">
        <f>VLOOKUP(AY234,'排出係数表'!$A$4:$C$202,2,FALSE)</f>
        <v>#N/A</v>
      </c>
      <c r="BA234" s="120" t="e">
        <f t="shared" si="136"/>
        <v>#N/A</v>
      </c>
      <c r="BB234" s="120" t="e">
        <f>VLOOKUP(AY234,'排出係数表'!$A$4:$C$202,3,FALSE)</f>
        <v>#N/A</v>
      </c>
      <c r="BC234" s="120" t="e">
        <f t="shared" si="137"/>
        <v>#N/A</v>
      </c>
      <c r="BD234" s="120">
        <f t="shared" si="148"/>
        <v>1</v>
      </c>
      <c r="BE234" s="122">
        <f t="shared" si="138"/>
      </c>
      <c r="BF234" s="123" t="e">
        <f t="shared" si="158"/>
        <v>#VALUE!</v>
      </c>
      <c r="BG234" s="122">
        <f t="shared" si="149"/>
      </c>
      <c r="BH234" s="120" t="e">
        <f t="shared" si="150"/>
        <v>#VALUE!</v>
      </c>
      <c r="BI234" s="120" t="e">
        <f t="shared" si="151"/>
        <v>#VALUE!</v>
      </c>
      <c r="BJ234" s="122" t="e">
        <f>VLOOKUP(AY234,'排出係数表'!$A$4:$D$202,4)</f>
        <v>#N/A</v>
      </c>
      <c r="BK234" s="257">
        <f t="shared" si="157"/>
      </c>
    </row>
    <row r="235" spans="1:63" s="124" customFormat="1" ht="13.5" customHeight="1">
      <c r="A235" s="120"/>
      <c r="B235" s="120"/>
      <c r="C235" s="155"/>
      <c r="D235" s="155"/>
      <c r="E235" s="155"/>
      <c r="F235" s="155"/>
      <c r="G235" s="156"/>
      <c r="H235" s="157"/>
      <c r="I235" s="155"/>
      <c r="J235" s="155"/>
      <c r="K235" s="158"/>
      <c r="L235" s="159"/>
      <c r="M235" s="244"/>
      <c r="N235" s="155"/>
      <c r="O235" s="345">
        <f t="shared" si="139"/>
      </c>
      <c r="P235" s="345">
        <f t="shared" si="125"/>
      </c>
      <c r="Q235" s="508"/>
      <c r="R235" s="346"/>
      <c r="S235" s="347"/>
      <c r="T235" s="348"/>
      <c r="U235" s="347"/>
      <c r="V235" s="348"/>
      <c r="W235" s="347"/>
      <c r="X235" s="348"/>
      <c r="Y235" s="347"/>
      <c r="Z235" s="348"/>
      <c r="AA235" s="340" t="e">
        <f t="shared" si="126"/>
        <v>#N/A</v>
      </c>
      <c r="AB235" s="339">
        <f t="shared" si="140"/>
      </c>
      <c r="AC235" s="339">
        <f t="shared" si="141"/>
      </c>
      <c r="AD235" s="255">
        <f t="shared" si="142"/>
      </c>
      <c r="AE235" s="256">
        <f t="shared" si="143"/>
      </c>
      <c r="AF235" s="256">
        <f t="shared" si="144"/>
      </c>
      <c r="AG235" s="255">
        <f t="shared" si="145"/>
      </c>
      <c r="AH235" s="255">
        <f t="shared" si="127"/>
      </c>
      <c r="AI235" s="255">
        <f t="shared" si="146"/>
      </c>
      <c r="AJ235" s="255">
        <f t="shared" si="147"/>
      </c>
      <c r="AK235" s="255">
        <f t="shared" si="128"/>
      </c>
      <c r="AL235" s="255">
        <f t="shared" si="129"/>
      </c>
      <c r="AM235" s="120">
        <f ca="1" t="shared" si="155"/>
        <v>0</v>
      </c>
      <c r="AN235" s="120" t="e">
        <f t="shared" si="130"/>
        <v>#N/A</v>
      </c>
      <c r="AO235" s="120">
        <f>ROWS($AO$4:AO235)-1</f>
        <v>231</v>
      </c>
      <c r="AP235" s="255" t="e">
        <f t="shared" si="156"/>
        <v>#N/A</v>
      </c>
      <c r="AQ235" s="120" t="e">
        <f t="shared" si="131"/>
        <v>#N/A</v>
      </c>
      <c r="AR235" s="120" t="e">
        <f t="shared" si="159"/>
        <v>#N/A</v>
      </c>
      <c r="AS235" s="121">
        <f t="shared" si="152"/>
        <v>1</v>
      </c>
      <c r="AT235" s="120" t="str">
        <f t="shared" si="153"/>
        <v> </v>
      </c>
      <c r="AU235" s="120" t="str">
        <f t="shared" si="154"/>
        <v> </v>
      </c>
      <c r="AV235" s="120" t="e">
        <f t="shared" si="132"/>
        <v>#N/A</v>
      </c>
      <c r="AW235" s="120" t="e">
        <f t="shared" si="133"/>
        <v>#N/A</v>
      </c>
      <c r="AX235" s="120">
        <f t="shared" si="134"/>
      </c>
      <c r="AY235" s="120" t="e">
        <f t="shared" si="135"/>
        <v>#N/A</v>
      </c>
      <c r="AZ235" s="120" t="e">
        <f>VLOOKUP(AY235,'排出係数表'!$A$4:$C$202,2,FALSE)</f>
        <v>#N/A</v>
      </c>
      <c r="BA235" s="120" t="e">
        <f t="shared" si="136"/>
        <v>#N/A</v>
      </c>
      <c r="BB235" s="120" t="e">
        <f>VLOOKUP(AY235,'排出係数表'!$A$4:$C$202,3,FALSE)</f>
        <v>#N/A</v>
      </c>
      <c r="BC235" s="120" t="e">
        <f t="shared" si="137"/>
        <v>#N/A</v>
      </c>
      <c r="BD235" s="120">
        <f t="shared" si="148"/>
        <v>1</v>
      </c>
      <c r="BE235" s="122">
        <f t="shared" si="138"/>
      </c>
      <c r="BF235" s="123" t="e">
        <f t="shared" si="158"/>
        <v>#VALUE!</v>
      </c>
      <c r="BG235" s="122">
        <f t="shared" si="149"/>
      </c>
      <c r="BH235" s="120" t="e">
        <f t="shared" si="150"/>
        <v>#VALUE!</v>
      </c>
      <c r="BI235" s="120" t="e">
        <f t="shared" si="151"/>
        <v>#VALUE!</v>
      </c>
      <c r="BJ235" s="122" t="e">
        <f>VLOOKUP(AY235,'排出係数表'!$A$4:$D$202,4)</f>
        <v>#N/A</v>
      </c>
      <c r="BK235" s="257">
        <f t="shared" si="157"/>
      </c>
    </row>
    <row r="236" spans="1:63" s="124" customFormat="1" ht="13.5" customHeight="1">
      <c r="A236" s="120"/>
      <c r="B236" s="120"/>
      <c r="C236" s="155"/>
      <c r="D236" s="155"/>
      <c r="E236" s="155"/>
      <c r="F236" s="155"/>
      <c r="G236" s="156"/>
      <c r="H236" s="157"/>
      <c r="I236" s="155"/>
      <c r="J236" s="155"/>
      <c r="K236" s="158"/>
      <c r="L236" s="159"/>
      <c r="M236" s="244"/>
      <c r="N236" s="155"/>
      <c r="O236" s="345">
        <f t="shared" si="139"/>
      </c>
      <c r="P236" s="345">
        <f t="shared" si="125"/>
      </c>
      <c r="Q236" s="508"/>
      <c r="R236" s="346"/>
      <c r="S236" s="347"/>
      <c r="T236" s="348"/>
      <c r="U236" s="347"/>
      <c r="V236" s="348"/>
      <c r="W236" s="347"/>
      <c r="X236" s="348"/>
      <c r="Y236" s="347"/>
      <c r="Z236" s="348"/>
      <c r="AA236" s="340" t="e">
        <f t="shared" si="126"/>
        <v>#N/A</v>
      </c>
      <c r="AB236" s="339">
        <f t="shared" si="140"/>
      </c>
      <c r="AC236" s="339">
        <f t="shared" si="141"/>
      </c>
      <c r="AD236" s="255">
        <f t="shared" si="142"/>
      </c>
      <c r="AE236" s="256">
        <f t="shared" si="143"/>
      </c>
      <c r="AF236" s="256">
        <f t="shared" si="144"/>
      </c>
      <c r="AG236" s="255">
        <f t="shared" si="145"/>
      </c>
      <c r="AH236" s="255">
        <f t="shared" si="127"/>
      </c>
      <c r="AI236" s="255">
        <f t="shared" si="146"/>
      </c>
      <c r="AJ236" s="255">
        <f t="shared" si="147"/>
      </c>
      <c r="AK236" s="255">
        <f t="shared" si="128"/>
      </c>
      <c r="AL236" s="255">
        <f t="shared" si="129"/>
      </c>
      <c r="AM236" s="120">
        <f ca="1" t="shared" si="155"/>
        <v>0</v>
      </c>
      <c r="AN236" s="120" t="e">
        <f t="shared" si="130"/>
        <v>#N/A</v>
      </c>
      <c r="AO236" s="120">
        <f>ROWS($AO$4:AO236)-1</f>
        <v>232</v>
      </c>
      <c r="AP236" s="255" t="e">
        <f t="shared" si="156"/>
        <v>#N/A</v>
      </c>
      <c r="AQ236" s="120" t="e">
        <f t="shared" si="131"/>
        <v>#N/A</v>
      </c>
      <c r="AR236" s="120" t="e">
        <f t="shared" si="159"/>
        <v>#N/A</v>
      </c>
      <c r="AS236" s="121">
        <f t="shared" si="152"/>
        <v>1</v>
      </c>
      <c r="AT236" s="120" t="str">
        <f t="shared" si="153"/>
        <v> </v>
      </c>
      <c r="AU236" s="120" t="str">
        <f t="shared" si="154"/>
        <v> </v>
      </c>
      <c r="AV236" s="120" t="e">
        <f t="shared" si="132"/>
        <v>#N/A</v>
      </c>
      <c r="AW236" s="120" t="e">
        <f t="shared" si="133"/>
        <v>#N/A</v>
      </c>
      <c r="AX236" s="120">
        <f t="shared" si="134"/>
      </c>
      <c r="AY236" s="120" t="e">
        <f t="shared" si="135"/>
        <v>#N/A</v>
      </c>
      <c r="AZ236" s="120" t="e">
        <f>VLOOKUP(AY236,'排出係数表'!$A$4:$C$202,2,FALSE)</f>
        <v>#N/A</v>
      </c>
      <c r="BA236" s="120" t="e">
        <f t="shared" si="136"/>
        <v>#N/A</v>
      </c>
      <c r="BB236" s="120" t="e">
        <f>VLOOKUP(AY236,'排出係数表'!$A$4:$C$202,3,FALSE)</f>
        <v>#N/A</v>
      </c>
      <c r="BC236" s="120" t="e">
        <f t="shared" si="137"/>
        <v>#N/A</v>
      </c>
      <c r="BD236" s="120">
        <f t="shared" si="148"/>
        <v>1</v>
      </c>
      <c r="BE236" s="122">
        <f t="shared" si="138"/>
      </c>
      <c r="BF236" s="123" t="e">
        <f t="shared" si="158"/>
        <v>#VALUE!</v>
      </c>
      <c r="BG236" s="122">
        <f t="shared" si="149"/>
      </c>
      <c r="BH236" s="120" t="e">
        <f t="shared" si="150"/>
        <v>#VALUE!</v>
      </c>
      <c r="BI236" s="120" t="e">
        <f t="shared" si="151"/>
        <v>#VALUE!</v>
      </c>
      <c r="BJ236" s="122" t="e">
        <f>VLOOKUP(AY236,'排出係数表'!$A$4:$D$202,4)</f>
        <v>#N/A</v>
      </c>
      <c r="BK236" s="257">
        <f t="shared" si="157"/>
      </c>
    </row>
    <row r="237" spans="1:63" s="124" customFormat="1" ht="13.5" customHeight="1">
      <c r="A237" s="120"/>
      <c r="B237" s="120"/>
      <c r="C237" s="155"/>
      <c r="D237" s="155"/>
      <c r="E237" s="155"/>
      <c r="F237" s="155"/>
      <c r="G237" s="156"/>
      <c r="H237" s="157"/>
      <c r="I237" s="155"/>
      <c r="J237" s="155"/>
      <c r="K237" s="158"/>
      <c r="L237" s="159"/>
      <c r="M237" s="244"/>
      <c r="N237" s="155"/>
      <c r="O237" s="345">
        <f t="shared" si="139"/>
      </c>
      <c r="P237" s="345">
        <f t="shared" si="125"/>
      </c>
      <c r="Q237" s="508"/>
      <c r="R237" s="346"/>
      <c r="S237" s="347"/>
      <c r="T237" s="348"/>
      <c r="U237" s="347"/>
      <c r="V237" s="348"/>
      <c r="W237" s="347"/>
      <c r="X237" s="348"/>
      <c r="Y237" s="347"/>
      <c r="Z237" s="348"/>
      <c r="AA237" s="340" t="e">
        <f t="shared" si="126"/>
        <v>#N/A</v>
      </c>
      <c r="AB237" s="339">
        <f t="shared" si="140"/>
      </c>
      <c r="AC237" s="339">
        <f t="shared" si="141"/>
      </c>
      <c r="AD237" s="255">
        <f t="shared" si="142"/>
      </c>
      <c r="AE237" s="256">
        <f t="shared" si="143"/>
      </c>
      <c r="AF237" s="256">
        <f t="shared" si="144"/>
      </c>
      <c r="AG237" s="255">
        <f t="shared" si="145"/>
      </c>
      <c r="AH237" s="255">
        <f t="shared" si="127"/>
      </c>
      <c r="AI237" s="255">
        <f t="shared" si="146"/>
      </c>
      <c r="AJ237" s="255">
        <f t="shared" si="147"/>
      </c>
      <c r="AK237" s="255">
        <f t="shared" si="128"/>
      </c>
      <c r="AL237" s="255">
        <f t="shared" si="129"/>
      </c>
      <c r="AM237" s="120">
        <f ca="1" t="shared" si="155"/>
        <v>0</v>
      </c>
      <c r="AN237" s="120" t="e">
        <f t="shared" si="130"/>
        <v>#N/A</v>
      </c>
      <c r="AO237" s="120">
        <f>ROWS($AO$4:AO237)-1</f>
        <v>233</v>
      </c>
      <c r="AP237" s="255" t="e">
        <f t="shared" si="156"/>
        <v>#N/A</v>
      </c>
      <c r="AQ237" s="120" t="e">
        <f t="shared" si="131"/>
        <v>#N/A</v>
      </c>
      <c r="AR237" s="120" t="e">
        <f t="shared" si="159"/>
        <v>#N/A</v>
      </c>
      <c r="AS237" s="121">
        <f t="shared" si="152"/>
        <v>1</v>
      </c>
      <c r="AT237" s="120" t="str">
        <f t="shared" si="153"/>
        <v> </v>
      </c>
      <c r="AU237" s="120" t="str">
        <f t="shared" si="154"/>
        <v> </v>
      </c>
      <c r="AV237" s="120" t="e">
        <f t="shared" si="132"/>
        <v>#N/A</v>
      </c>
      <c r="AW237" s="120" t="e">
        <f t="shared" si="133"/>
        <v>#N/A</v>
      </c>
      <c r="AX237" s="120">
        <f t="shared" si="134"/>
      </c>
      <c r="AY237" s="120" t="e">
        <f t="shared" si="135"/>
        <v>#N/A</v>
      </c>
      <c r="AZ237" s="120" t="e">
        <f>VLOOKUP(AY237,'排出係数表'!$A$4:$C$202,2,FALSE)</f>
        <v>#N/A</v>
      </c>
      <c r="BA237" s="120" t="e">
        <f t="shared" si="136"/>
        <v>#N/A</v>
      </c>
      <c r="BB237" s="120" t="e">
        <f>VLOOKUP(AY237,'排出係数表'!$A$4:$C$202,3,FALSE)</f>
        <v>#N/A</v>
      </c>
      <c r="BC237" s="120" t="e">
        <f t="shared" si="137"/>
        <v>#N/A</v>
      </c>
      <c r="BD237" s="120">
        <f t="shared" si="148"/>
        <v>1</v>
      </c>
      <c r="BE237" s="122">
        <f t="shared" si="138"/>
      </c>
      <c r="BF237" s="123" t="e">
        <f t="shared" si="158"/>
        <v>#VALUE!</v>
      </c>
      <c r="BG237" s="122">
        <f t="shared" si="149"/>
      </c>
      <c r="BH237" s="120" t="e">
        <f t="shared" si="150"/>
        <v>#VALUE!</v>
      </c>
      <c r="BI237" s="120" t="e">
        <f t="shared" si="151"/>
        <v>#VALUE!</v>
      </c>
      <c r="BJ237" s="122" t="e">
        <f>VLOOKUP(AY237,'排出係数表'!$A$4:$D$202,4)</f>
        <v>#N/A</v>
      </c>
      <c r="BK237" s="257">
        <f t="shared" si="157"/>
      </c>
    </row>
    <row r="238" spans="1:63" s="124" customFormat="1" ht="13.5" customHeight="1">
      <c r="A238" s="120"/>
      <c r="B238" s="120"/>
      <c r="C238" s="155"/>
      <c r="D238" s="155"/>
      <c r="E238" s="155"/>
      <c r="F238" s="155"/>
      <c r="G238" s="156"/>
      <c r="H238" s="157"/>
      <c r="I238" s="155"/>
      <c r="J238" s="155"/>
      <c r="K238" s="158"/>
      <c r="L238" s="159"/>
      <c r="M238" s="244"/>
      <c r="N238" s="155"/>
      <c r="O238" s="345">
        <f t="shared" si="139"/>
      </c>
      <c r="P238" s="345">
        <f t="shared" si="125"/>
      </c>
      <c r="Q238" s="508"/>
      <c r="R238" s="346"/>
      <c r="S238" s="347"/>
      <c r="T238" s="348"/>
      <c r="U238" s="347"/>
      <c r="V238" s="348"/>
      <c r="W238" s="347"/>
      <c r="X238" s="348"/>
      <c r="Y238" s="347"/>
      <c r="Z238" s="348"/>
      <c r="AA238" s="340" t="e">
        <f t="shared" si="126"/>
        <v>#N/A</v>
      </c>
      <c r="AB238" s="339">
        <f t="shared" si="140"/>
      </c>
      <c r="AC238" s="339">
        <f t="shared" si="141"/>
      </c>
      <c r="AD238" s="255">
        <f t="shared" si="142"/>
      </c>
      <c r="AE238" s="256">
        <f t="shared" si="143"/>
      </c>
      <c r="AF238" s="256">
        <f t="shared" si="144"/>
      </c>
      <c r="AG238" s="255">
        <f t="shared" si="145"/>
      </c>
      <c r="AH238" s="255">
        <f t="shared" si="127"/>
      </c>
      <c r="AI238" s="255">
        <f t="shared" si="146"/>
      </c>
      <c r="AJ238" s="255">
        <f t="shared" si="147"/>
      </c>
      <c r="AK238" s="255">
        <f t="shared" si="128"/>
      </c>
      <c r="AL238" s="255">
        <f t="shared" si="129"/>
      </c>
      <c r="AM238" s="120">
        <f ca="1" t="shared" si="155"/>
        <v>0</v>
      </c>
      <c r="AN238" s="120" t="e">
        <f t="shared" si="130"/>
        <v>#N/A</v>
      </c>
      <c r="AO238" s="120">
        <f>ROWS($AO$4:AO238)-1</f>
        <v>234</v>
      </c>
      <c r="AP238" s="255" t="e">
        <f t="shared" si="156"/>
        <v>#N/A</v>
      </c>
      <c r="AQ238" s="120" t="e">
        <f t="shared" si="131"/>
        <v>#N/A</v>
      </c>
      <c r="AR238" s="120" t="e">
        <f t="shared" si="159"/>
        <v>#N/A</v>
      </c>
      <c r="AS238" s="121">
        <f t="shared" si="152"/>
        <v>1</v>
      </c>
      <c r="AT238" s="120" t="str">
        <f t="shared" si="153"/>
        <v> </v>
      </c>
      <c r="AU238" s="120" t="str">
        <f t="shared" si="154"/>
        <v> </v>
      </c>
      <c r="AV238" s="120" t="e">
        <f t="shared" si="132"/>
        <v>#N/A</v>
      </c>
      <c r="AW238" s="120" t="e">
        <f t="shared" si="133"/>
        <v>#N/A</v>
      </c>
      <c r="AX238" s="120">
        <f t="shared" si="134"/>
      </c>
      <c r="AY238" s="120" t="e">
        <f t="shared" si="135"/>
        <v>#N/A</v>
      </c>
      <c r="AZ238" s="120" t="e">
        <f>VLOOKUP(AY238,'排出係数表'!$A$4:$C$202,2,FALSE)</f>
        <v>#N/A</v>
      </c>
      <c r="BA238" s="120" t="e">
        <f t="shared" si="136"/>
        <v>#N/A</v>
      </c>
      <c r="BB238" s="120" t="e">
        <f>VLOOKUP(AY238,'排出係数表'!$A$4:$C$202,3,FALSE)</f>
        <v>#N/A</v>
      </c>
      <c r="BC238" s="120" t="e">
        <f t="shared" si="137"/>
        <v>#N/A</v>
      </c>
      <c r="BD238" s="120">
        <f t="shared" si="148"/>
        <v>1</v>
      </c>
      <c r="BE238" s="122">
        <f t="shared" si="138"/>
      </c>
      <c r="BF238" s="123" t="e">
        <f t="shared" si="158"/>
        <v>#VALUE!</v>
      </c>
      <c r="BG238" s="122">
        <f t="shared" si="149"/>
      </c>
      <c r="BH238" s="120" t="e">
        <f t="shared" si="150"/>
        <v>#VALUE!</v>
      </c>
      <c r="BI238" s="120" t="e">
        <f t="shared" si="151"/>
        <v>#VALUE!</v>
      </c>
      <c r="BJ238" s="122" t="e">
        <f>VLOOKUP(AY238,'排出係数表'!$A$4:$D$202,4)</f>
        <v>#N/A</v>
      </c>
      <c r="BK238" s="257">
        <f t="shared" si="157"/>
      </c>
    </row>
    <row r="239" spans="1:63" s="124" customFormat="1" ht="13.5" customHeight="1">
      <c r="A239" s="120"/>
      <c r="B239" s="120"/>
      <c r="C239" s="155"/>
      <c r="D239" s="155"/>
      <c r="E239" s="155"/>
      <c r="F239" s="155"/>
      <c r="G239" s="156"/>
      <c r="H239" s="157"/>
      <c r="I239" s="155"/>
      <c r="J239" s="155"/>
      <c r="K239" s="158"/>
      <c r="L239" s="159"/>
      <c r="M239" s="244"/>
      <c r="N239" s="155"/>
      <c r="O239" s="345">
        <f t="shared" si="139"/>
      </c>
      <c r="P239" s="345">
        <f t="shared" si="125"/>
      </c>
      <c r="Q239" s="508"/>
      <c r="R239" s="346"/>
      <c r="S239" s="347"/>
      <c r="T239" s="348"/>
      <c r="U239" s="347"/>
      <c r="V239" s="348"/>
      <c r="W239" s="347"/>
      <c r="X239" s="348"/>
      <c r="Y239" s="347"/>
      <c r="Z239" s="348"/>
      <c r="AA239" s="340" t="e">
        <f t="shared" si="126"/>
        <v>#N/A</v>
      </c>
      <c r="AB239" s="339">
        <f t="shared" si="140"/>
      </c>
      <c r="AC239" s="339">
        <f t="shared" si="141"/>
      </c>
      <c r="AD239" s="255">
        <f t="shared" si="142"/>
      </c>
      <c r="AE239" s="256">
        <f t="shared" si="143"/>
      </c>
      <c r="AF239" s="256">
        <f t="shared" si="144"/>
      </c>
      <c r="AG239" s="255">
        <f t="shared" si="145"/>
      </c>
      <c r="AH239" s="255">
        <f t="shared" si="127"/>
      </c>
      <c r="AI239" s="255">
        <f t="shared" si="146"/>
      </c>
      <c r="AJ239" s="255">
        <f t="shared" si="147"/>
      </c>
      <c r="AK239" s="255">
        <f t="shared" si="128"/>
      </c>
      <c r="AL239" s="255">
        <f t="shared" si="129"/>
      </c>
      <c r="AM239" s="120">
        <f ca="1" t="shared" si="155"/>
        <v>0</v>
      </c>
      <c r="AN239" s="120" t="e">
        <f t="shared" si="130"/>
        <v>#N/A</v>
      </c>
      <c r="AO239" s="120">
        <f>ROWS($AO$4:AO239)-1</f>
        <v>235</v>
      </c>
      <c r="AP239" s="255" t="e">
        <f t="shared" si="156"/>
        <v>#N/A</v>
      </c>
      <c r="AQ239" s="120" t="e">
        <f t="shared" si="131"/>
        <v>#N/A</v>
      </c>
      <c r="AR239" s="120" t="e">
        <f t="shared" si="159"/>
        <v>#N/A</v>
      </c>
      <c r="AS239" s="121">
        <f t="shared" si="152"/>
        <v>1</v>
      </c>
      <c r="AT239" s="120" t="str">
        <f t="shared" si="153"/>
        <v> </v>
      </c>
      <c r="AU239" s="120" t="str">
        <f t="shared" si="154"/>
        <v> </v>
      </c>
      <c r="AV239" s="120" t="e">
        <f t="shared" si="132"/>
        <v>#N/A</v>
      </c>
      <c r="AW239" s="120" t="e">
        <f t="shared" si="133"/>
        <v>#N/A</v>
      </c>
      <c r="AX239" s="120">
        <f t="shared" si="134"/>
      </c>
      <c r="AY239" s="120" t="e">
        <f t="shared" si="135"/>
        <v>#N/A</v>
      </c>
      <c r="AZ239" s="120" t="e">
        <f>VLOOKUP(AY239,'排出係数表'!$A$4:$C$202,2,FALSE)</f>
        <v>#N/A</v>
      </c>
      <c r="BA239" s="120" t="e">
        <f t="shared" si="136"/>
        <v>#N/A</v>
      </c>
      <c r="BB239" s="120" t="e">
        <f>VLOOKUP(AY239,'排出係数表'!$A$4:$C$202,3,FALSE)</f>
        <v>#N/A</v>
      </c>
      <c r="BC239" s="120" t="e">
        <f t="shared" si="137"/>
        <v>#N/A</v>
      </c>
      <c r="BD239" s="120">
        <f t="shared" si="148"/>
        <v>1</v>
      </c>
      <c r="BE239" s="122">
        <f t="shared" si="138"/>
      </c>
      <c r="BF239" s="123" t="e">
        <f t="shared" si="158"/>
        <v>#VALUE!</v>
      </c>
      <c r="BG239" s="122">
        <f t="shared" si="149"/>
      </c>
      <c r="BH239" s="120" t="e">
        <f t="shared" si="150"/>
        <v>#VALUE!</v>
      </c>
      <c r="BI239" s="120" t="e">
        <f t="shared" si="151"/>
        <v>#VALUE!</v>
      </c>
      <c r="BJ239" s="122" t="e">
        <f>VLOOKUP(AY239,'排出係数表'!$A$4:$D$202,4)</f>
        <v>#N/A</v>
      </c>
      <c r="BK239" s="257">
        <f t="shared" si="157"/>
      </c>
    </row>
    <row r="240" spans="1:63" s="124" customFormat="1" ht="13.5" customHeight="1">
      <c r="A240" s="120"/>
      <c r="B240" s="120"/>
      <c r="C240" s="155"/>
      <c r="D240" s="155"/>
      <c r="E240" s="155"/>
      <c r="F240" s="155"/>
      <c r="G240" s="156"/>
      <c r="H240" s="157"/>
      <c r="I240" s="155"/>
      <c r="J240" s="155"/>
      <c r="K240" s="158"/>
      <c r="L240" s="159"/>
      <c r="M240" s="244"/>
      <c r="N240" s="155"/>
      <c r="O240" s="345">
        <f t="shared" si="139"/>
      </c>
      <c r="P240" s="345">
        <f t="shared" si="125"/>
      </c>
      <c r="Q240" s="508"/>
      <c r="R240" s="346"/>
      <c r="S240" s="347"/>
      <c r="T240" s="348"/>
      <c r="U240" s="347"/>
      <c r="V240" s="348"/>
      <c r="W240" s="347"/>
      <c r="X240" s="348"/>
      <c r="Y240" s="347"/>
      <c r="Z240" s="348"/>
      <c r="AA240" s="340" t="e">
        <f t="shared" si="126"/>
        <v>#N/A</v>
      </c>
      <c r="AB240" s="339">
        <f t="shared" si="140"/>
      </c>
      <c r="AC240" s="339">
        <f t="shared" si="141"/>
      </c>
      <c r="AD240" s="255">
        <f t="shared" si="142"/>
      </c>
      <c r="AE240" s="256">
        <f t="shared" si="143"/>
      </c>
      <c r="AF240" s="256">
        <f t="shared" si="144"/>
      </c>
      <c r="AG240" s="255">
        <f t="shared" si="145"/>
      </c>
      <c r="AH240" s="255">
        <f t="shared" si="127"/>
      </c>
      <c r="AI240" s="255">
        <f t="shared" si="146"/>
      </c>
      <c r="AJ240" s="255">
        <f t="shared" si="147"/>
      </c>
      <c r="AK240" s="255">
        <f t="shared" si="128"/>
      </c>
      <c r="AL240" s="255">
        <f t="shared" si="129"/>
      </c>
      <c r="AM240" s="120">
        <f ca="1" t="shared" si="155"/>
        <v>0</v>
      </c>
      <c r="AN240" s="120" t="e">
        <f t="shared" si="130"/>
        <v>#N/A</v>
      </c>
      <c r="AO240" s="120">
        <f>ROWS($AO$4:AO240)-1</f>
        <v>236</v>
      </c>
      <c r="AP240" s="255" t="e">
        <f t="shared" si="156"/>
        <v>#N/A</v>
      </c>
      <c r="AQ240" s="120" t="e">
        <f t="shared" si="131"/>
        <v>#N/A</v>
      </c>
      <c r="AR240" s="120" t="e">
        <f t="shared" si="159"/>
        <v>#N/A</v>
      </c>
      <c r="AS240" s="121">
        <f t="shared" si="152"/>
        <v>1</v>
      </c>
      <c r="AT240" s="120" t="str">
        <f t="shared" si="153"/>
        <v> </v>
      </c>
      <c r="AU240" s="120" t="str">
        <f t="shared" si="154"/>
        <v> </v>
      </c>
      <c r="AV240" s="120" t="e">
        <f t="shared" si="132"/>
        <v>#N/A</v>
      </c>
      <c r="AW240" s="120" t="e">
        <f t="shared" si="133"/>
        <v>#N/A</v>
      </c>
      <c r="AX240" s="120">
        <f t="shared" si="134"/>
      </c>
      <c r="AY240" s="120" t="e">
        <f t="shared" si="135"/>
        <v>#N/A</v>
      </c>
      <c r="AZ240" s="120" t="e">
        <f>VLOOKUP(AY240,'排出係数表'!$A$4:$C$202,2,FALSE)</f>
        <v>#N/A</v>
      </c>
      <c r="BA240" s="120" t="e">
        <f t="shared" si="136"/>
        <v>#N/A</v>
      </c>
      <c r="BB240" s="120" t="e">
        <f>VLOOKUP(AY240,'排出係数表'!$A$4:$C$202,3,FALSE)</f>
        <v>#N/A</v>
      </c>
      <c r="BC240" s="120" t="e">
        <f t="shared" si="137"/>
        <v>#N/A</v>
      </c>
      <c r="BD240" s="120">
        <f t="shared" si="148"/>
        <v>1</v>
      </c>
      <c r="BE240" s="122">
        <f t="shared" si="138"/>
      </c>
      <c r="BF240" s="123" t="e">
        <f t="shared" si="158"/>
        <v>#VALUE!</v>
      </c>
      <c r="BG240" s="122">
        <f t="shared" si="149"/>
      </c>
      <c r="BH240" s="120" t="e">
        <f t="shared" si="150"/>
        <v>#VALUE!</v>
      </c>
      <c r="BI240" s="120" t="e">
        <f t="shared" si="151"/>
        <v>#VALUE!</v>
      </c>
      <c r="BJ240" s="122" t="e">
        <f>VLOOKUP(AY240,'排出係数表'!$A$4:$D$202,4)</f>
        <v>#N/A</v>
      </c>
      <c r="BK240" s="257">
        <f t="shared" si="157"/>
      </c>
    </row>
    <row r="241" spans="1:63" s="124" customFormat="1" ht="13.5" customHeight="1">
      <c r="A241" s="120"/>
      <c r="B241" s="120"/>
      <c r="C241" s="155"/>
      <c r="D241" s="155"/>
      <c r="E241" s="155"/>
      <c r="F241" s="155"/>
      <c r="G241" s="156"/>
      <c r="H241" s="157"/>
      <c r="I241" s="155"/>
      <c r="J241" s="155"/>
      <c r="K241" s="158"/>
      <c r="L241" s="159"/>
      <c r="M241" s="244"/>
      <c r="N241" s="155"/>
      <c r="O241" s="345">
        <f t="shared" si="139"/>
      </c>
      <c r="P241" s="345">
        <f t="shared" si="125"/>
      </c>
      <c r="Q241" s="508"/>
      <c r="R241" s="346"/>
      <c r="S241" s="347"/>
      <c r="T241" s="348"/>
      <c r="U241" s="347"/>
      <c r="V241" s="348"/>
      <c r="W241" s="347"/>
      <c r="X241" s="348"/>
      <c r="Y241" s="347"/>
      <c r="Z241" s="348"/>
      <c r="AA241" s="340" t="e">
        <f t="shared" si="126"/>
        <v>#N/A</v>
      </c>
      <c r="AB241" s="339">
        <f t="shared" si="140"/>
      </c>
      <c r="AC241" s="339">
        <f t="shared" si="141"/>
      </c>
      <c r="AD241" s="255">
        <f t="shared" si="142"/>
      </c>
      <c r="AE241" s="256">
        <f t="shared" si="143"/>
      </c>
      <c r="AF241" s="256">
        <f t="shared" si="144"/>
      </c>
      <c r="AG241" s="255">
        <f t="shared" si="145"/>
      </c>
      <c r="AH241" s="255">
        <f t="shared" si="127"/>
      </c>
      <c r="AI241" s="255">
        <f t="shared" si="146"/>
      </c>
      <c r="AJ241" s="255">
        <f t="shared" si="147"/>
      </c>
      <c r="AK241" s="255">
        <f t="shared" si="128"/>
      </c>
      <c r="AL241" s="255">
        <f t="shared" si="129"/>
      </c>
      <c r="AM241" s="120">
        <f ca="1" t="shared" si="155"/>
        <v>0</v>
      </c>
      <c r="AN241" s="120" t="e">
        <f t="shared" si="130"/>
        <v>#N/A</v>
      </c>
      <c r="AO241" s="120">
        <f>ROWS($AO$4:AO241)-1</f>
        <v>237</v>
      </c>
      <c r="AP241" s="255" t="e">
        <f t="shared" si="156"/>
        <v>#N/A</v>
      </c>
      <c r="AQ241" s="120" t="e">
        <f t="shared" si="131"/>
        <v>#N/A</v>
      </c>
      <c r="AR241" s="120" t="e">
        <f t="shared" si="159"/>
        <v>#N/A</v>
      </c>
      <c r="AS241" s="121">
        <f t="shared" si="152"/>
        <v>1</v>
      </c>
      <c r="AT241" s="120" t="str">
        <f t="shared" si="153"/>
        <v> </v>
      </c>
      <c r="AU241" s="120" t="str">
        <f t="shared" si="154"/>
        <v> </v>
      </c>
      <c r="AV241" s="120" t="e">
        <f t="shared" si="132"/>
        <v>#N/A</v>
      </c>
      <c r="AW241" s="120" t="e">
        <f t="shared" si="133"/>
        <v>#N/A</v>
      </c>
      <c r="AX241" s="120">
        <f t="shared" si="134"/>
      </c>
      <c r="AY241" s="120" t="e">
        <f t="shared" si="135"/>
        <v>#N/A</v>
      </c>
      <c r="AZ241" s="120" t="e">
        <f>VLOOKUP(AY241,'排出係数表'!$A$4:$C$202,2,FALSE)</f>
        <v>#N/A</v>
      </c>
      <c r="BA241" s="120" t="e">
        <f t="shared" si="136"/>
        <v>#N/A</v>
      </c>
      <c r="BB241" s="120" t="e">
        <f>VLOOKUP(AY241,'排出係数表'!$A$4:$C$202,3,FALSE)</f>
        <v>#N/A</v>
      </c>
      <c r="BC241" s="120" t="e">
        <f t="shared" si="137"/>
        <v>#N/A</v>
      </c>
      <c r="BD241" s="120">
        <f t="shared" si="148"/>
        <v>1</v>
      </c>
      <c r="BE241" s="122">
        <f t="shared" si="138"/>
      </c>
      <c r="BF241" s="123" t="e">
        <f t="shared" si="158"/>
        <v>#VALUE!</v>
      </c>
      <c r="BG241" s="122">
        <f t="shared" si="149"/>
      </c>
      <c r="BH241" s="120" t="e">
        <f t="shared" si="150"/>
        <v>#VALUE!</v>
      </c>
      <c r="BI241" s="120" t="e">
        <f t="shared" si="151"/>
        <v>#VALUE!</v>
      </c>
      <c r="BJ241" s="122" t="e">
        <f>VLOOKUP(AY241,'排出係数表'!$A$4:$D$202,4)</f>
        <v>#N/A</v>
      </c>
      <c r="BK241" s="257">
        <f t="shared" si="157"/>
      </c>
    </row>
    <row r="242" spans="1:63" s="124" customFormat="1" ht="13.5" customHeight="1">
      <c r="A242" s="120"/>
      <c r="B242" s="120"/>
      <c r="C242" s="155"/>
      <c r="D242" s="155"/>
      <c r="E242" s="155"/>
      <c r="F242" s="155"/>
      <c r="G242" s="156"/>
      <c r="H242" s="157"/>
      <c r="I242" s="155"/>
      <c r="J242" s="155"/>
      <c r="K242" s="158"/>
      <c r="L242" s="159"/>
      <c r="M242" s="244"/>
      <c r="N242" s="155"/>
      <c r="O242" s="345">
        <f t="shared" si="139"/>
      </c>
      <c r="P242" s="345">
        <f t="shared" si="125"/>
      </c>
      <c r="Q242" s="508"/>
      <c r="R242" s="346"/>
      <c r="S242" s="347"/>
      <c r="T242" s="348"/>
      <c r="U242" s="347"/>
      <c r="V242" s="348"/>
      <c r="W242" s="347"/>
      <c r="X242" s="348"/>
      <c r="Y242" s="347"/>
      <c r="Z242" s="348"/>
      <c r="AA242" s="340" t="e">
        <f t="shared" si="126"/>
        <v>#N/A</v>
      </c>
      <c r="AB242" s="339">
        <f t="shared" si="140"/>
      </c>
      <c r="AC242" s="339">
        <f t="shared" si="141"/>
      </c>
      <c r="AD242" s="255">
        <f t="shared" si="142"/>
      </c>
      <c r="AE242" s="256">
        <f t="shared" si="143"/>
      </c>
      <c r="AF242" s="256">
        <f t="shared" si="144"/>
      </c>
      <c r="AG242" s="255">
        <f t="shared" si="145"/>
      </c>
      <c r="AH242" s="255">
        <f t="shared" si="127"/>
      </c>
      <c r="AI242" s="255">
        <f t="shared" si="146"/>
      </c>
      <c r="AJ242" s="255">
        <f t="shared" si="147"/>
      </c>
      <c r="AK242" s="255">
        <f t="shared" si="128"/>
      </c>
      <c r="AL242" s="255">
        <f t="shared" si="129"/>
      </c>
      <c r="AM242" s="120">
        <f ca="1" t="shared" si="155"/>
        <v>0</v>
      </c>
      <c r="AN242" s="120" t="e">
        <f t="shared" si="130"/>
        <v>#N/A</v>
      </c>
      <c r="AO242" s="120">
        <f>ROWS($AO$4:AO242)-1</f>
        <v>238</v>
      </c>
      <c r="AP242" s="255" t="e">
        <f t="shared" si="156"/>
        <v>#N/A</v>
      </c>
      <c r="AQ242" s="120" t="e">
        <f t="shared" si="131"/>
        <v>#N/A</v>
      </c>
      <c r="AR242" s="120" t="e">
        <f t="shared" si="159"/>
        <v>#N/A</v>
      </c>
      <c r="AS242" s="121">
        <f t="shared" si="152"/>
        <v>1</v>
      </c>
      <c r="AT242" s="120" t="str">
        <f t="shared" si="153"/>
        <v> </v>
      </c>
      <c r="AU242" s="120" t="str">
        <f t="shared" si="154"/>
        <v> </v>
      </c>
      <c r="AV242" s="120" t="e">
        <f t="shared" si="132"/>
        <v>#N/A</v>
      </c>
      <c r="AW242" s="120" t="e">
        <f t="shared" si="133"/>
        <v>#N/A</v>
      </c>
      <c r="AX242" s="120">
        <f t="shared" si="134"/>
      </c>
      <c r="AY242" s="120" t="e">
        <f t="shared" si="135"/>
        <v>#N/A</v>
      </c>
      <c r="AZ242" s="120" t="e">
        <f>VLOOKUP(AY242,'排出係数表'!$A$4:$C$202,2,FALSE)</f>
        <v>#N/A</v>
      </c>
      <c r="BA242" s="120" t="e">
        <f t="shared" si="136"/>
        <v>#N/A</v>
      </c>
      <c r="BB242" s="120" t="e">
        <f>VLOOKUP(AY242,'排出係数表'!$A$4:$C$202,3,FALSE)</f>
        <v>#N/A</v>
      </c>
      <c r="BC242" s="120" t="e">
        <f t="shared" si="137"/>
        <v>#N/A</v>
      </c>
      <c r="BD242" s="120">
        <f t="shared" si="148"/>
        <v>1</v>
      </c>
      <c r="BE242" s="122">
        <f t="shared" si="138"/>
      </c>
      <c r="BF242" s="123" t="e">
        <f t="shared" si="158"/>
        <v>#VALUE!</v>
      </c>
      <c r="BG242" s="122">
        <f t="shared" si="149"/>
      </c>
      <c r="BH242" s="120" t="e">
        <f t="shared" si="150"/>
        <v>#VALUE!</v>
      </c>
      <c r="BI242" s="120" t="e">
        <f t="shared" si="151"/>
        <v>#VALUE!</v>
      </c>
      <c r="BJ242" s="122" t="e">
        <f>VLOOKUP(AY242,'排出係数表'!$A$4:$D$202,4)</f>
        <v>#N/A</v>
      </c>
      <c r="BK242" s="257">
        <f t="shared" si="157"/>
      </c>
    </row>
    <row r="243" spans="1:63" s="124" customFormat="1" ht="13.5" customHeight="1">
      <c r="A243" s="120"/>
      <c r="B243" s="120"/>
      <c r="C243" s="155"/>
      <c r="D243" s="155"/>
      <c r="E243" s="155"/>
      <c r="F243" s="155"/>
      <c r="G243" s="156"/>
      <c r="H243" s="157"/>
      <c r="I243" s="155"/>
      <c r="J243" s="155"/>
      <c r="K243" s="158"/>
      <c r="L243" s="159"/>
      <c r="M243" s="244"/>
      <c r="N243" s="155"/>
      <c r="O243" s="345">
        <f t="shared" si="139"/>
      </c>
      <c r="P243" s="345">
        <f t="shared" si="125"/>
      </c>
      <c r="Q243" s="508"/>
      <c r="R243" s="346"/>
      <c r="S243" s="347"/>
      <c r="T243" s="348"/>
      <c r="U243" s="347"/>
      <c r="V243" s="348"/>
      <c r="W243" s="347"/>
      <c r="X243" s="348"/>
      <c r="Y243" s="347"/>
      <c r="Z243" s="348"/>
      <c r="AA243" s="340" t="e">
        <f t="shared" si="126"/>
        <v>#N/A</v>
      </c>
      <c r="AB243" s="339">
        <f t="shared" si="140"/>
      </c>
      <c r="AC243" s="339">
        <f t="shared" si="141"/>
      </c>
      <c r="AD243" s="255">
        <f t="shared" si="142"/>
      </c>
      <c r="AE243" s="256">
        <f t="shared" si="143"/>
      </c>
      <c r="AF243" s="256">
        <f t="shared" si="144"/>
      </c>
      <c r="AG243" s="255">
        <f t="shared" si="145"/>
      </c>
      <c r="AH243" s="255">
        <f t="shared" si="127"/>
      </c>
      <c r="AI243" s="255">
        <f t="shared" si="146"/>
      </c>
      <c r="AJ243" s="255">
        <f t="shared" si="147"/>
      </c>
      <c r="AK243" s="255">
        <f t="shared" si="128"/>
      </c>
      <c r="AL243" s="255">
        <f t="shared" si="129"/>
      </c>
      <c r="AM243" s="120">
        <f ca="1" t="shared" si="155"/>
        <v>0</v>
      </c>
      <c r="AN243" s="120" t="e">
        <f t="shared" si="130"/>
        <v>#N/A</v>
      </c>
      <c r="AO243" s="120">
        <f>ROWS($AO$4:AO243)-1</f>
        <v>239</v>
      </c>
      <c r="AP243" s="255" t="e">
        <f t="shared" si="156"/>
        <v>#N/A</v>
      </c>
      <c r="AQ243" s="120" t="e">
        <f t="shared" si="131"/>
        <v>#N/A</v>
      </c>
      <c r="AR243" s="120" t="e">
        <f t="shared" si="159"/>
        <v>#N/A</v>
      </c>
      <c r="AS243" s="121">
        <f t="shared" si="152"/>
        <v>1</v>
      </c>
      <c r="AT243" s="120" t="str">
        <f t="shared" si="153"/>
        <v> </v>
      </c>
      <c r="AU243" s="120" t="str">
        <f t="shared" si="154"/>
        <v> </v>
      </c>
      <c r="AV243" s="120" t="e">
        <f t="shared" si="132"/>
        <v>#N/A</v>
      </c>
      <c r="AW243" s="120" t="e">
        <f t="shared" si="133"/>
        <v>#N/A</v>
      </c>
      <c r="AX243" s="120">
        <f t="shared" si="134"/>
      </c>
      <c r="AY243" s="120" t="e">
        <f t="shared" si="135"/>
        <v>#N/A</v>
      </c>
      <c r="AZ243" s="120" t="e">
        <f>VLOOKUP(AY243,'排出係数表'!$A$4:$C$202,2,FALSE)</f>
        <v>#N/A</v>
      </c>
      <c r="BA243" s="120" t="e">
        <f t="shared" si="136"/>
        <v>#N/A</v>
      </c>
      <c r="BB243" s="120" t="e">
        <f>VLOOKUP(AY243,'排出係数表'!$A$4:$C$202,3,FALSE)</f>
        <v>#N/A</v>
      </c>
      <c r="BC243" s="120" t="e">
        <f t="shared" si="137"/>
        <v>#N/A</v>
      </c>
      <c r="BD243" s="120">
        <f t="shared" si="148"/>
        <v>1</v>
      </c>
      <c r="BE243" s="122">
        <f t="shared" si="138"/>
      </c>
      <c r="BF243" s="123" t="e">
        <f t="shared" si="158"/>
        <v>#VALUE!</v>
      </c>
      <c r="BG243" s="122">
        <f t="shared" si="149"/>
      </c>
      <c r="BH243" s="120" t="e">
        <f t="shared" si="150"/>
        <v>#VALUE!</v>
      </c>
      <c r="BI243" s="120" t="e">
        <f t="shared" si="151"/>
        <v>#VALUE!</v>
      </c>
      <c r="BJ243" s="122" t="e">
        <f>VLOOKUP(AY243,'排出係数表'!$A$4:$D$202,4)</f>
        <v>#N/A</v>
      </c>
      <c r="BK243" s="257">
        <f t="shared" si="157"/>
      </c>
    </row>
    <row r="244" spans="1:63" s="124" customFormat="1" ht="13.5" customHeight="1">
      <c r="A244" s="120"/>
      <c r="B244" s="120"/>
      <c r="C244" s="155"/>
      <c r="D244" s="155"/>
      <c r="E244" s="155"/>
      <c r="F244" s="155"/>
      <c r="G244" s="156"/>
      <c r="H244" s="157"/>
      <c r="I244" s="155"/>
      <c r="J244" s="155"/>
      <c r="K244" s="158"/>
      <c r="L244" s="159"/>
      <c r="M244" s="244"/>
      <c r="N244" s="155"/>
      <c r="O244" s="345">
        <f t="shared" si="139"/>
      </c>
      <c r="P244" s="345">
        <f t="shared" si="125"/>
      </c>
      <c r="Q244" s="508"/>
      <c r="R244" s="346"/>
      <c r="S244" s="347"/>
      <c r="T244" s="348"/>
      <c r="U244" s="347"/>
      <c r="V244" s="348"/>
      <c r="W244" s="347"/>
      <c r="X244" s="348"/>
      <c r="Y244" s="347"/>
      <c r="Z244" s="348"/>
      <c r="AA244" s="340" t="e">
        <f t="shared" si="126"/>
        <v>#N/A</v>
      </c>
      <c r="AB244" s="339">
        <f t="shared" si="140"/>
      </c>
      <c r="AC244" s="339">
        <f t="shared" si="141"/>
      </c>
      <c r="AD244" s="255">
        <f t="shared" si="142"/>
      </c>
      <c r="AE244" s="256">
        <f t="shared" si="143"/>
      </c>
      <c r="AF244" s="256">
        <f t="shared" si="144"/>
      </c>
      <c r="AG244" s="255">
        <f t="shared" si="145"/>
      </c>
      <c r="AH244" s="255">
        <f t="shared" si="127"/>
      </c>
      <c r="AI244" s="255">
        <f t="shared" si="146"/>
      </c>
      <c r="AJ244" s="255">
        <f t="shared" si="147"/>
      </c>
      <c r="AK244" s="255">
        <f t="shared" si="128"/>
      </c>
      <c r="AL244" s="255">
        <f t="shared" si="129"/>
      </c>
      <c r="AM244" s="120">
        <f ca="1" t="shared" si="155"/>
        <v>0</v>
      </c>
      <c r="AN244" s="120" t="e">
        <f t="shared" si="130"/>
        <v>#N/A</v>
      </c>
      <c r="AO244" s="120">
        <f>ROWS($AO$4:AO244)-1</f>
        <v>240</v>
      </c>
      <c r="AP244" s="255" t="e">
        <f t="shared" si="156"/>
        <v>#N/A</v>
      </c>
      <c r="AQ244" s="120" t="e">
        <f t="shared" si="131"/>
        <v>#N/A</v>
      </c>
      <c r="AR244" s="120" t="e">
        <f t="shared" si="159"/>
        <v>#N/A</v>
      </c>
      <c r="AS244" s="121">
        <f t="shared" si="152"/>
        <v>1</v>
      </c>
      <c r="AT244" s="120" t="str">
        <f t="shared" si="153"/>
        <v> </v>
      </c>
      <c r="AU244" s="120" t="str">
        <f t="shared" si="154"/>
        <v> </v>
      </c>
      <c r="AV244" s="120" t="e">
        <f t="shared" si="132"/>
        <v>#N/A</v>
      </c>
      <c r="AW244" s="120" t="e">
        <f t="shared" si="133"/>
        <v>#N/A</v>
      </c>
      <c r="AX244" s="120">
        <f t="shared" si="134"/>
      </c>
      <c r="AY244" s="120" t="e">
        <f t="shared" si="135"/>
        <v>#N/A</v>
      </c>
      <c r="AZ244" s="120" t="e">
        <f>VLOOKUP(AY244,'排出係数表'!$A$4:$C$202,2,FALSE)</f>
        <v>#N/A</v>
      </c>
      <c r="BA244" s="120" t="e">
        <f t="shared" si="136"/>
        <v>#N/A</v>
      </c>
      <c r="BB244" s="120" t="e">
        <f>VLOOKUP(AY244,'排出係数表'!$A$4:$C$202,3,FALSE)</f>
        <v>#N/A</v>
      </c>
      <c r="BC244" s="120" t="e">
        <f t="shared" si="137"/>
        <v>#N/A</v>
      </c>
      <c r="BD244" s="120">
        <f t="shared" si="148"/>
        <v>1</v>
      </c>
      <c r="BE244" s="122">
        <f t="shared" si="138"/>
      </c>
      <c r="BF244" s="123" t="e">
        <f t="shared" si="158"/>
        <v>#VALUE!</v>
      </c>
      <c r="BG244" s="122">
        <f t="shared" si="149"/>
      </c>
      <c r="BH244" s="120" t="e">
        <f t="shared" si="150"/>
        <v>#VALUE!</v>
      </c>
      <c r="BI244" s="120" t="e">
        <f t="shared" si="151"/>
        <v>#VALUE!</v>
      </c>
      <c r="BJ244" s="122" t="e">
        <f>VLOOKUP(AY244,'排出係数表'!$A$4:$D$202,4)</f>
        <v>#N/A</v>
      </c>
      <c r="BK244" s="257">
        <f t="shared" si="157"/>
      </c>
    </row>
    <row r="245" spans="1:63" s="124" customFormat="1" ht="13.5" customHeight="1">
      <c r="A245" s="120"/>
      <c r="B245" s="120"/>
      <c r="C245" s="155"/>
      <c r="D245" s="155"/>
      <c r="E245" s="155"/>
      <c r="F245" s="155"/>
      <c r="G245" s="156"/>
      <c r="H245" s="157"/>
      <c r="I245" s="155"/>
      <c r="J245" s="155"/>
      <c r="K245" s="158"/>
      <c r="L245" s="159"/>
      <c r="M245" s="244"/>
      <c r="N245" s="155"/>
      <c r="O245" s="345">
        <f t="shared" si="139"/>
      </c>
      <c r="P245" s="345">
        <f t="shared" si="125"/>
      </c>
      <c r="Q245" s="508"/>
      <c r="R245" s="346"/>
      <c r="S245" s="347"/>
      <c r="T245" s="348"/>
      <c r="U245" s="347"/>
      <c r="V245" s="348"/>
      <c r="W245" s="347"/>
      <c r="X245" s="348"/>
      <c r="Y245" s="347"/>
      <c r="Z245" s="348"/>
      <c r="AA245" s="340" t="e">
        <f t="shared" si="126"/>
        <v>#N/A</v>
      </c>
      <c r="AB245" s="339">
        <f t="shared" si="140"/>
      </c>
      <c r="AC245" s="339">
        <f t="shared" si="141"/>
      </c>
      <c r="AD245" s="255">
        <f t="shared" si="142"/>
      </c>
      <c r="AE245" s="256">
        <f t="shared" si="143"/>
      </c>
      <c r="AF245" s="256">
        <f t="shared" si="144"/>
      </c>
      <c r="AG245" s="255">
        <f t="shared" si="145"/>
      </c>
      <c r="AH245" s="255">
        <f t="shared" si="127"/>
      </c>
      <c r="AI245" s="255">
        <f t="shared" si="146"/>
      </c>
      <c r="AJ245" s="255">
        <f t="shared" si="147"/>
      </c>
      <c r="AK245" s="255">
        <f t="shared" si="128"/>
      </c>
      <c r="AL245" s="255">
        <f t="shared" si="129"/>
      </c>
      <c r="AM245" s="120">
        <f ca="1" t="shared" si="155"/>
        <v>0</v>
      </c>
      <c r="AN245" s="120" t="e">
        <f t="shared" si="130"/>
        <v>#N/A</v>
      </c>
      <c r="AO245" s="120">
        <f>ROWS($AO$4:AO245)-1</f>
        <v>241</v>
      </c>
      <c r="AP245" s="255" t="e">
        <f t="shared" si="156"/>
        <v>#N/A</v>
      </c>
      <c r="AQ245" s="120" t="e">
        <f t="shared" si="131"/>
        <v>#N/A</v>
      </c>
      <c r="AR245" s="120" t="e">
        <f t="shared" si="159"/>
        <v>#N/A</v>
      </c>
      <c r="AS245" s="121">
        <f t="shared" si="152"/>
        <v>1</v>
      </c>
      <c r="AT245" s="120" t="str">
        <f t="shared" si="153"/>
        <v> </v>
      </c>
      <c r="AU245" s="120" t="str">
        <f t="shared" si="154"/>
        <v> </v>
      </c>
      <c r="AV245" s="120" t="e">
        <f t="shared" si="132"/>
        <v>#N/A</v>
      </c>
      <c r="AW245" s="120" t="e">
        <f t="shared" si="133"/>
        <v>#N/A</v>
      </c>
      <c r="AX245" s="120">
        <f t="shared" si="134"/>
      </c>
      <c r="AY245" s="120" t="e">
        <f t="shared" si="135"/>
        <v>#N/A</v>
      </c>
      <c r="AZ245" s="120" t="e">
        <f>VLOOKUP(AY245,'排出係数表'!$A$4:$C$202,2,FALSE)</f>
        <v>#N/A</v>
      </c>
      <c r="BA245" s="120" t="e">
        <f t="shared" si="136"/>
        <v>#N/A</v>
      </c>
      <c r="BB245" s="120" t="e">
        <f>VLOOKUP(AY245,'排出係数表'!$A$4:$C$202,3,FALSE)</f>
        <v>#N/A</v>
      </c>
      <c r="BC245" s="120" t="e">
        <f t="shared" si="137"/>
        <v>#N/A</v>
      </c>
      <c r="BD245" s="120">
        <f t="shared" si="148"/>
        <v>1</v>
      </c>
      <c r="BE245" s="122">
        <f t="shared" si="138"/>
      </c>
      <c r="BF245" s="123" t="e">
        <f t="shared" si="158"/>
        <v>#VALUE!</v>
      </c>
      <c r="BG245" s="122">
        <f t="shared" si="149"/>
      </c>
      <c r="BH245" s="120" t="e">
        <f t="shared" si="150"/>
        <v>#VALUE!</v>
      </c>
      <c r="BI245" s="120" t="e">
        <f t="shared" si="151"/>
        <v>#VALUE!</v>
      </c>
      <c r="BJ245" s="122" t="e">
        <f>VLOOKUP(AY245,'排出係数表'!$A$4:$D$202,4)</f>
        <v>#N/A</v>
      </c>
      <c r="BK245" s="257">
        <f t="shared" si="157"/>
      </c>
    </row>
    <row r="246" spans="1:63" s="124" customFormat="1" ht="13.5" customHeight="1">
      <c r="A246" s="120"/>
      <c r="B246" s="120"/>
      <c r="C246" s="155"/>
      <c r="D246" s="155"/>
      <c r="E246" s="155"/>
      <c r="F246" s="155"/>
      <c r="G246" s="156"/>
      <c r="H246" s="157"/>
      <c r="I246" s="155"/>
      <c r="J246" s="155"/>
      <c r="K246" s="158"/>
      <c r="L246" s="159"/>
      <c r="M246" s="244"/>
      <c r="N246" s="155"/>
      <c r="O246" s="345">
        <f t="shared" si="139"/>
      </c>
      <c r="P246" s="345">
        <f t="shared" si="125"/>
      </c>
      <c r="Q246" s="508"/>
      <c r="R246" s="346"/>
      <c r="S246" s="347"/>
      <c r="T246" s="348"/>
      <c r="U246" s="347"/>
      <c r="V246" s="348"/>
      <c r="W246" s="347"/>
      <c r="X246" s="348"/>
      <c r="Y246" s="347"/>
      <c r="Z246" s="348"/>
      <c r="AA246" s="340" t="e">
        <f t="shared" si="126"/>
        <v>#N/A</v>
      </c>
      <c r="AB246" s="339">
        <f t="shared" si="140"/>
      </c>
      <c r="AC246" s="339">
        <f t="shared" si="141"/>
      </c>
      <c r="AD246" s="255">
        <f t="shared" si="142"/>
      </c>
      <c r="AE246" s="256">
        <f t="shared" si="143"/>
      </c>
      <c r="AF246" s="256">
        <f t="shared" si="144"/>
      </c>
      <c r="AG246" s="255">
        <f t="shared" si="145"/>
      </c>
      <c r="AH246" s="255">
        <f t="shared" si="127"/>
      </c>
      <c r="AI246" s="255">
        <f t="shared" si="146"/>
      </c>
      <c r="AJ246" s="255">
        <f t="shared" si="147"/>
      </c>
      <c r="AK246" s="255">
        <f t="shared" si="128"/>
      </c>
      <c r="AL246" s="255">
        <f t="shared" si="129"/>
      </c>
      <c r="AM246" s="120">
        <f ca="1" t="shared" si="155"/>
        <v>0</v>
      </c>
      <c r="AN246" s="120" t="e">
        <f t="shared" si="130"/>
        <v>#N/A</v>
      </c>
      <c r="AO246" s="120">
        <f>ROWS($AO$4:AO246)-1</f>
        <v>242</v>
      </c>
      <c r="AP246" s="255" t="e">
        <f t="shared" si="156"/>
        <v>#N/A</v>
      </c>
      <c r="AQ246" s="120" t="e">
        <f t="shared" si="131"/>
        <v>#N/A</v>
      </c>
      <c r="AR246" s="120" t="e">
        <f t="shared" si="159"/>
        <v>#N/A</v>
      </c>
      <c r="AS246" s="121">
        <f t="shared" si="152"/>
        <v>1</v>
      </c>
      <c r="AT246" s="120" t="str">
        <f t="shared" si="153"/>
        <v> </v>
      </c>
      <c r="AU246" s="120" t="str">
        <f t="shared" si="154"/>
        <v> </v>
      </c>
      <c r="AV246" s="120" t="e">
        <f t="shared" si="132"/>
        <v>#N/A</v>
      </c>
      <c r="AW246" s="120" t="e">
        <f t="shared" si="133"/>
        <v>#N/A</v>
      </c>
      <c r="AX246" s="120">
        <f t="shared" si="134"/>
      </c>
      <c r="AY246" s="120" t="e">
        <f t="shared" si="135"/>
        <v>#N/A</v>
      </c>
      <c r="AZ246" s="120" t="e">
        <f>VLOOKUP(AY246,'排出係数表'!$A$4:$C$202,2,FALSE)</f>
        <v>#N/A</v>
      </c>
      <c r="BA246" s="120" t="e">
        <f t="shared" si="136"/>
        <v>#N/A</v>
      </c>
      <c r="BB246" s="120" t="e">
        <f>VLOOKUP(AY246,'排出係数表'!$A$4:$C$202,3,FALSE)</f>
        <v>#N/A</v>
      </c>
      <c r="BC246" s="120" t="e">
        <f t="shared" si="137"/>
        <v>#N/A</v>
      </c>
      <c r="BD246" s="120">
        <f t="shared" si="148"/>
        <v>1</v>
      </c>
      <c r="BE246" s="122">
        <f t="shared" si="138"/>
      </c>
      <c r="BF246" s="123" t="e">
        <f t="shared" si="158"/>
        <v>#VALUE!</v>
      </c>
      <c r="BG246" s="122">
        <f t="shared" si="149"/>
      </c>
      <c r="BH246" s="120" t="e">
        <f t="shared" si="150"/>
        <v>#VALUE!</v>
      </c>
      <c r="BI246" s="120" t="e">
        <f t="shared" si="151"/>
        <v>#VALUE!</v>
      </c>
      <c r="BJ246" s="122" t="e">
        <f>VLOOKUP(AY246,'排出係数表'!$A$4:$D$202,4)</f>
        <v>#N/A</v>
      </c>
      <c r="BK246" s="257">
        <f t="shared" si="157"/>
      </c>
    </row>
    <row r="247" spans="1:63" s="124" customFormat="1" ht="13.5" customHeight="1">
      <c r="A247" s="120"/>
      <c r="B247" s="120"/>
      <c r="C247" s="155"/>
      <c r="D247" s="155"/>
      <c r="E247" s="155"/>
      <c r="F247" s="155"/>
      <c r="G247" s="156"/>
      <c r="H247" s="157"/>
      <c r="I247" s="155"/>
      <c r="J247" s="155"/>
      <c r="K247" s="158"/>
      <c r="L247" s="159"/>
      <c r="M247" s="244"/>
      <c r="N247" s="155"/>
      <c r="O247" s="345">
        <f t="shared" si="139"/>
      </c>
      <c r="P247" s="345">
        <f t="shared" si="125"/>
      </c>
      <c r="Q247" s="508"/>
      <c r="R247" s="346"/>
      <c r="S247" s="347"/>
      <c r="T247" s="348"/>
      <c r="U247" s="347"/>
      <c r="V247" s="348"/>
      <c r="W247" s="347"/>
      <c r="X247" s="348"/>
      <c r="Y247" s="347"/>
      <c r="Z247" s="348"/>
      <c r="AA247" s="340" t="e">
        <f t="shared" si="126"/>
        <v>#N/A</v>
      </c>
      <c r="AB247" s="339">
        <f t="shared" si="140"/>
      </c>
      <c r="AC247" s="339">
        <f t="shared" si="141"/>
      </c>
      <c r="AD247" s="255">
        <f t="shared" si="142"/>
      </c>
      <c r="AE247" s="256">
        <f t="shared" si="143"/>
      </c>
      <c r="AF247" s="256">
        <f t="shared" si="144"/>
      </c>
      <c r="AG247" s="255">
        <f t="shared" si="145"/>
      </c>
      <c r="AH247" s="255">
        <f t="shared" si="127"/>
      </c>
      <c r="AI247" s="255">
        <f t="shared" si="146"/>
      </c>
      <c r="AJ247" s="255">
        <f t="shared" si="147"/>
      </c>
      <c r="AK247" s="255">
        <f t="shared" si="128"/>
      </c>
      <c r="AL247" s="255">
        <f t="shared" si="129"/>
      </c>
      <c r="AM247" s="120">
        <f ca="1" t="shared" si="155"/>
        <v>0</v>
      </c>
      <c r="AN247" s="120" t="e">
        <f t="shared" si="130"/>
        <v>#N/A</v>
      </c>
      <c r="AO247" s="120">
        <f>ROWS($AO$4:AO247)-1</f>
        <v>243</v>
      </c>
      <c r="AP247" s="255" t="e">
        <f t="shared" si="156"/>
        <v>#N/A</v>
      </c>
      <c r="AQ247" s="120" t="e">
        <f t="shared" si="131"/>
        <v>#N/A</v>
      </c>
      <c r="AR247" s="120" t="e">
        <f t="shared" si="159"/>
        <v>#N/A</v>
      </c>
      <c r="AS247" s="121">
        <f t="shared" si="152"/>
        <v>1</v>
      </c>
      <c r="AT247" s="120" t="str">
        <f t="shared" si="153"/>
        <v> </v>
      </c>
      <c r="AU247" s="120" t="str">
        <f t="shared" si="154"/>
        <v> </v>
      </c>
      <c r="AV247" s="120" t="e">
        <f t="shared" si="132"/>
        <v>#N/A</v>
      </c>
      <c r="AW247" s="120" t="e">
        <f t="shared" si="133"/>
        <v>#N/A</v>
      </c>
      <c r="AX247" s="120">
        <f t="shared" si="134"/>
      </c>
      <c r="AY247" s="120" t="e">
        <f t="shared" si="135"/>
        <v>#N/A</v>
      </c>
      <c r="AZ247" s="120" t="e">
        <f>VLOOKUP(AY247,'排出係数表'!$A$4:$C$202,2,FALSE)</f>
        <v>#N/A</v>
      </c>
      <c r="BA247" s="120" t="e">
        <f t="shared" si="136"/>
        <v>#N/A</v>
      </c>
      <c r="BB247" s="120" t="e">
        <f>VLOOKUP(AY247,'排出係数表'!$A$4:$C$202,3,FALSE)</f>
        <v>#N/A</v>
      </c>
      <c r="BC247" s="120" t="e">
        <f t="shared" si="137"/>
        <v>#N/A</v>
      </c>
      <c r="BD247" s="120">
        <f t="shared" si="148"/>
        <v>1</v>
      </c>
      <c r="BE247" s="122">
        <f t="shared" si="138"/>
      </c>
      <c r="BF247" s="123" t="e">
        <f t="shared" si="158"/>
        <v>#VALUE!</v>
      </c>
      <c r="BG247" s="122">
        <f t="shared" si="149"/>
      </c>
      <c r="BH247" s="120" t="e">
        <f t="shared" si="150"/>
        <v>#VALUE!</v>
      </c>
      <c r="BI247" s="120" t="e">
        <f t="shared" si="151"/>
        <v>#VALUE!</v>
      </c>
      <c r="BJ247" s="122" t="e">
        <f>VLOOKUP(AY247,'排出係数表'!$A$4:$D$202,4)</f>
        <v>#N/A</v>
      </c>
      <c r="BK247" s="257">
        <f t="shared" si="157"/>
      </c>
    </row>
    <row r="248" spans="1:63" s="124" customFormat="1" ht="13.5" customHeight="1">
      <c r="A248" s="120"/>
      <c r="B248" s="120"/>
      <c r="C248" s="155"/>
      <c r="D248" s="155"/>
      <c r="E248" s="155"/>
      <c r="F248" s="155"/>
      <c r="G248" s="156"/>
      <c r="H248" s="157"/>
      <c r="I248" s="155"/>
      <c r="J248" s="155"/>
      <c r="K248" s="158"/>
      <c r="L248" s="159"/>
      <c r="M248" s="244"/>
      <c r="N248" s="155"/>
      <c r="O248" s="345">
        <f t="shared" si="139"/>
      </c>
      <c r="P248" s="345">
        <f t="shared" si="125"/>
      </c>
      <c r="Q248" s="508"/>
      <c r="R248" s="346"/>
      <c r="S248" s="347"/>
      <c r="T248" s="348"/>
      <c r="U248" s="347"/>
      <c r="V248" s="348"/>
      <c r="W248" s="347"/>
      <c r="X248" s="348"/>
      <c r="Y248" s="347"/>
      <c r="Z248" s="348"/>
      <c r="AA248" s="340" t="e">
        <f t="shared" si="126"/>
        <v>#N/A</v>
      </c>
      <c r="AB248" s="339">
        <f t="shared" si="140"/>
      </c>
      <c r="AC248" s="339">
        <f t="shared" si="141"/>
      </c>
      <c r="AD248" s="255">
        <f t="shared" si="142"/>
      </c>
      <c r="AE248" s="256">
        <f t="shared" si="143"/>
      </c>
      <c r="AF248" s="256">
        <f t="shared" si="144"/>
      </c>
      <c r="AG248" s="255">
        <f t="shared" si="145"/>
      </c>
      <c r="AH248" s="255">
        <f t="shared" si="127"/>
      </c>
      <c r="AI248" s="255">
        <f t="shared" si="146"/>
      </c>
      <c r="AJ248" s="255">
        <f t="shared" si="147"/>
      </c>
      <c r="AK248" s="255">
        <f t="shared" si="128"/>
      </c>
      <c r="AL248" s="255">
        <f t="shared" si="129"/>
      </c>
      <c r="AM248" s="120">
        <f ca="1" t="shared" si="155"/>
        <v>0</v>
      </c>
      <c r="AN248" s="120" t="e">
        <f t="shared" si="130"/>
        <v>#N/A</v>
      </c>
      <c r="AO248" s="120">
        <f>ROWS($AO$4:AO248)-1</f>
        <v>244</v>
      </c>
      <c r="AP248" s="255" t="e">
        <f t="shared" si="156"/>
        <v>#N/A</v>
      </c>
      <c r="AQ248" s="120" t="e">
        <f t="shared" si="131"/>
        <v>#N/A</v>
      </c>
      <c r="AR248" s="120" t="e">
        <f t="shared" si="159"/>
        <v>#N/A</v>
      </c>
      <c r="AS248" s="121">
        <f t="shared" si="152"/>
        <v>1</v>
      </c>
      <c r="AT248" s="120" t="str">
        <f t="shared" si="153"/>
        <v> </v>
      </c>
      <c r="AU248" s="120" t="str">
        <f t="shared" si="154"/>
        <v> </v>
      </c>
      <c r="AV248" s="120" t="e">
        <f t="shared" si="132"/>
        <v>#N/A</v>
      </c>
      <c r="AW248" s="120" t="e">
        <f t="shared" si="133"/>
        <v>#N/A</v>
      </c>
      <c r="AX248" s="120">
        <f t="shared" si="134"/>
      </c>
      <c r="AY248" s="120" t="e">
        <f t="shared" si="135"/>
        <v>#N/A</v>
      </c>
      <c r="AZ248" s="120" t="e">
        <f>VLOOKUP(AY248,'排出係数表'!$A$4:$C$202,2,FALSE)</f>
        <v>#N/A</v>
      </c>
      <c r="BA248" s="120" t="e">
        <f t="shared" si="136"/>
        <v>#N/A</v>
      </c>
      <c r="BB248" s="120" t="e">
        <f>VLOOKUP(AY248,'排出係数表'!$A$4:$C$202,3,FALSE)</f>
        <v>#N/A</v>
      </c>
      <c r="BC248" s="120" t="e">
        <f t="shared" si="137"/>
        <v>#N/A</v>
      </c>
      <c r="BD248" s="120">
        <f t="shared" si="148"/>
        <v>1</v>
      </c>
      <c r="BE248" s="122">
        <f t="shared" si="138"/>
      </c>
      <c r="BF248" s="123" t="e">
        <f t="shared" si="158"/>
        <v>#VALUE!</v>
      </c>
      <c r="BG248" s="122">
        <f t="shared" si="149"/>
      </c>
      <c r="BH248" s="120" t="e">
        <f t="shared" si="150"/>
        <v>#VALUE!</v>
      </c>
      <c r="BI248" s="120" t="e">
        <f t="shared" si="151"/>
        <v>#VALUE!</v>
      </c>
      <c r="BJ248" s="122" t="e">
        <f>VLOOKUP(AY248,'排出係数表'!$A$4:$D$202,4)</f>
        <v>#N/A</v>
      </c>
      <c r="BK248" s="257">
        <f t="shared" si="157"/>
      </c>
    </row>
    <row r="249" spans="1:63" s="124" customFormat="1" ht="13.5" customHeight="1">
      <c r="A249" s="120"/>
      <c r="B249" s="120"/>
      <c r="C249" s="155"/>
      <c r="D249" s="155"/>
      <c r="E249" s="155"/>
      <c r="F249" s="155"/>
      <c r="G249" s="156"/>
      <c r="H249" s="157"/>
      <c r="I249" s="155"/>
      <c r="J249" s="155"/>
      <c r="K249" s="158"/>
      <c r="L249" s="159"/>
      <c r="M249" s="244"/>
      <c r="N249" s="155"/>
      <c r="O249" s="345">
        <f t="shared" si="139"/>
      </c>
      <c r="P249" s="345">
        <f t="shared" si="125"/>
      </c>
      <c r="Q249" s="508"/>
      <c r="R249" s="346"/>
      <c r="S249" s="347"/>
      <c r="T249" s="348"/>
      <c r="U249" s="347"/>
      <c r="V249" s="348"/>
      <c r="W249" s="347"/>
      <c r="X249" s="348"/>
      <c r="Y249" s="347"/>
      <c r="Z249" s="348"/>
      <c r="AA249" s="340" t="e">
        <f t="shared" si="126"/>
        <v>#N/A</v>
      </c>
      <c r="AB249" s="339">
        <f t="shared" si="140"/>
      </c>
      <c r="AC249" s="339">
        <f t="shared" si="141"/>
      </c>
      <c r="AD249" s="255">
        <f t="shared" si="142"/>
      </c>
      <c r="AE249" s="256">
        <f t="shared" si="143"/>
      </c>
      <c r="AF249" s="256">
        <f t="shared" si="144"/>
      </c>
      <c r="AG249" s="255">
        <f t="shared" si="145"/>
      </c>
      <c r="AH249" s="255">
        <f t="shared" si="127"/>
      </c>
      <c r="AI249" s="255">
        <f t="shared" si="146"/>
      </c>
      <c r="AJ249" s="255">
        <f t="shared" si="147"/>
      </c>
      <c r="AK249" s="255">
        <f t="shared" si="128"/>
      </c>
      <c r="AL249" s="255">
        <f t="shared" si="129"/>
      </c>
      <c r="AM249" s="120">
        <f ca="1" t="shared" si="155"/>
        <v>0</v>
      </c>
      <c r="AN249" s="120" t="e">
        <f t="shared" si="130"/>
        <v>#N/A</v>
      </c>
      <c r="AO249" s="120">
        <f>ROWS($AO$4:AO249)-1</f>
        <v>245</v>
      </c>
      <c r="AP249" s="255" t="e">
        <f t="shared" si="156"/>
        <v>#N/A</v>
      </c>
      <c r="AQ249" s="120" t="e">
        <f t="shared" si="131"/>
        <v>#N/A</v>
      </c>
      <c r="AR249" s="120" t="e">
        <f t="shared" si="159"/>
        <v>#N/A</v>
      </c>
      <c r="AS249" s="121">
        <f t="shared" si="152"/>
        <v>1</v>
      </c>
      <c r="AT249" s="120" t="str">
        <f t="shared" si="153"/>
        <v> </v>
      </c>
      <c r="AU249" s="120" t="str">
        <f t="shared" si="154"/>
        <v> </v>
      </c>
      <c r="AV249" s="120" t="e">
        <f t="shared" si="132"/>
        <v>#N/A</v>
      </c>
      <c r="AW249" s="120" t="e">
        <f t="shared" si="133"/>
        <v>#N/A</v>
      </c>
      <c r="AX249" s="120">
        <f t="shared" si="134"/>
      </c>
      <c r="AY249" s="120" t="e">
        <f t="shared" si="135"/>
        <v>#N/A</v>
      </c>
      <c r="AZ249" s="120" t="e">
        <f>VLOOKUP(AY249,'排出係数表'!$A$4:$C$202,2,FALSE)</f>
        <v>#N/A</v>
      </c>
      <c r="BA249" s="120" t="e">
        <f t="shared" si="136"/>
        <v>#N/A</v>
      </c>
      <c r="BB249" s="120" t="e">
        <f>VLOOKUP(AY249,'排出係数表'!$A$4:$C$202,3,FALSE)</f>
        <v>#N/A</v>
      </c>
      <c r="BC249" s="120" t="e">
        <f t="shared" si="137"/>
        <v>#N/A</v>
      </c>
      <c r="BD249" s="120">
        <f t="shared" si="148"/>
        <v>1</v>
      </c>
      <c r="BE249" s="122">
        <f t="shared" si="138"/>
      </c>
      <c r="BF249" s="123" t="e">
        <f t="shared" si="158"/>
        <v>#VALUE!</v>
      </c>
      <c r="BG249" s="122">
        <f t="shared" si="149"/>
      </c>
      <c r="BH249" s="120" t="e">
        <f t="shared" si="150"/>
        <v>#VALUE!</v>
      </c>
      <c r="BI249" s="120" t="e">
        <f t="shared" si="151"/>
        <v>#VALUE!</v>
      </c>
      <c r="BJ249" s="122" t="e">
        <f>VLOOKUP(AY249,'排出係数表'!$A$4:$D$202,4)</f>
        <v>#N/A</v>
      </c>
      <c r="BK249" s="257">
        <f t="shared" si="157"/>
      </c>
    </row>
    <row r="250" spans="1:63" s="124" customFormat="1" ht="13.5" customHeight="1">
      <c r="A250" s="120"/>
      <c r="B250" s="120"/>
      <c r="C250" s="155"/>
      <c r="D250" s="155"/>
      <c r="E250" s="155"/>
      <c r="F250" s="155"/>
      <c r="G250" s="156"/>
      <c r="H250" s="157"/>
      <c r="I250" s="155"/>
      <c r="J250" s="155"/>
      <c r="K250" s="158"/>
      <c r="L250" s="159"/>
      <c r="M250" s="244"/>
      <c r="N250" s="155"/>
      <c r="O250" s="345">
        <f t="shared" si="139"/>
      </c>
      <c r="P250" s="345">
        <f t="shared" si="125"/>
      </c>
      <c r="Q250" s="508"/>
      <c r="R250" s="346"/>
      <c r="S250" s="347"/>
      <c r="T250" s="348"/>
      <c r="U250" s="347"/>
      <c r="V250" s="348"/>
      <c r="W250" s="347"/>
      <c r="X250" s="348"/>
      <c r="Y250" s="347"/>
      <c r="Z250" s="348"/>
      <c r="AA250" s="340" t="e">
        <f t="shared" si="126"/>
        <v>#N/A</v>
      </c>
      <c r="AB250" s="339">
        <f t="shared" si="140"/>
      </c>
      <c r="AC250" s="339">
        <f t="shared" si="141"/>
      </c>
      <c r="AD250" s="255">
        <f t="shared" si="142"/>
      </c>
      <c r="AE250" s="256">
        <f t="shared" si="143"/>
      </c>
      <c r="AF250" s="256">
        <f t="shared" si="144"/>
      </c>
      <c r="AG250" s="255">
        <f t="shared" si="145"/>
      </c>
      <c r="AH250" s="255">
        <f t="shared" si="127"/>
      </c>
      <c r="AI250" s="255">
        <f t="shared" si="146"/>
      </c>
      <c r="AJ250" s="255">
        <f t="shared" si="147"/>
      </c>
      <c r="AK250" s="255">
        <f t="shared" si="128"/>
      </c>
      <c r="AL250" s="255">
        <f t="shared" si="129"/>
      </c>
      <c r="AM250" s="120">
        <f ca="1" t="shared" si="155"/>
        <v>0</v>
      </c>
      <c r="AN250" s="120" t="e">
        <f t="shared" si="130"/>
        <v>#N/A</v>
      </c>
      <c r="AO250" s="120">
        <f>ROWS($AO$4:AO250)-1</f>
        <v>246</v>
      </c>
      <c r="AP250" s="255" t="e">
        <f t="shared" si="156"/>
        <v>#N/A</v>
      </c>
      <c r="AQ250" s="120" t="e">
        <f t="shared" si="131"/>
        <v>#N/A</v>
      </c>
      <c r="AR250" s="120" t="e">
        <f t="shared" si="159"/>
        <v>#N/A</v>
      </c>
      <c r="AS250" s="121">
        <f t="shared" si="152"/>
        <v>1</v>
      </c>
      <c r="AT250" s="120" t="str">
        <f t="shared" si="153"/>
        <v> </v>
      </c>
      <c r="AU250" s="120" t="str">
        <f t="shared" si="154"/>
        <v> </v>
      </c>
      <c r="AV250" s="120" t="e">
        <f t="shared" si="132"/>
        <v>#N/A</v>
      </c>
      <c r="AW250" s="120" t="e">
        <f t="shared" si="133"/>
        <v>#N/A</v>
      </c>
      <c r="AX250" s="120">
        <f t="shared" si="134"/>
      </c>
      <c r="AY250" s="120" t="e">
        <f t="shared" si="135"/>
        <v>#N/A</v>
      </c>
      <c r="AZ250" s="120" t="e">
        <f>VLOOKUP(AY250,'排出係数表'!$A$4:$C$202,2,FALSE)</f>
        <v>#N/A</v>
      </c>
      <c r="BA250" s="120" t="e">
        <f t="shared" si="136"/>
        <v>#N/A</v>
      </c>
      <c r="BB250" s="120" t="e">
        <f>VLOOKUP(AY250,'排出係数表'!$A$4:$C$202,3,FALSE)</f>
        <v>#N/A</v>
      </c>
      <c r="BC250" s="120" t="e">
        <f t="shared" si="137"/>
        <v>#N/A</v>
      </c>
      <c r="BD250" s="120">
        <f t="shared" si="148"/>
        <v>1</v>
      </c>
      <c r="BE250" s="122">
        <f t="shared" si="138"/>
      </c>
      <c r="BF250" s="123" t="e">
        <f t="shared" si="158"/>
        <v>#VALUE!</v>
      </c>
      <c r="BG250" s="122">
        <f t="shared" si="149"/>
      </c>
      <c r="BH250" s="120" t="e">
        <f t="shared" si="150"/>
        <v>#VALUE!</v>
      </c>
      <c r="BI250" s="120" t="e">
        <f t="shared" si="151"/>
        <v>#VALUE!</v>
      </c>
      <c r="BJ250" s="122" t="e">
        <f>VLOOKUP(AY250,'排出係数表'!$A$4:$D$202,4)</f>
        <v>#N/A</v>
      </c>
      <c r="BK250" s="257">
        <f t="shared" si="157"/>
      </c>
    </row>
    <row r="251" spans="1:63" s="124" customFormat="1" ht="13.5" customHeight="1">
      <c r="A251" s="120"/>
      <c r="B251" s="120"/>
      <c r="C251" s="155"/>
      <c r="D251" s="155"/>
      <c r="E251" s="155"/>
      <c r="F251" s="155"/>
      <c r="G251" s="156"/>
      <c r="H251" s="157"/>
      <c r="I251" s="155"/>
      <c r="J251" s="155"/>
      <c r="K251" s="158"/>
      <c r="L251" s="159"/>
      <c r="M251" s="244"/>
      <c r="N251" s="155"/>
      <c r="O251" s="345">
        <f t="shared" si="139"/>
      </c>
      <c r="P251" s="345">
        <f t="shared" si="125"/>
      </c>
      <c r="Q251" s="508"/>
      <c r="R251" s="346"/>
      <c r="S251" s="347"/>
      <c r="T251" s="348"/>
      <c r="U251" s="347"/>
      <c r="V251" s="348"/>
      <c r="W251" s="347"/>
      <c r="X251" s="348"/>
      <c r="Y251" s="347"/>
      <c r="Z251" s="348"/>
      <c r="AA251" s="340" t="e">
        <f t="shared" si="126"/>
        <v>#N/A</v>
      </c>
      <c r="AB251" s="339">
        <f t="shared" si="140"/>
      </c>
      <c r="AC251" s="339">
        <f t="shared" si="141"/>
      </c>
      <c r="AD251" s="255">
        <f t="shared" si="142"/>
      </c>
      <c r="AE251" s="256">
        <f t="shared" si="143"/>
      </c>
      <c r="AF251" s="256">
        <f t="shared" si="144"/>
      </c>
      <c r="AG251" s="255">
        <f t="shared" si="145"/>
      </c>
      <c r="AH251" s="255">
        <f t="shared" si="127"/>
      </c>
      <c r="AI251" s="255">
        <f t="shared" si="146"/>
      </c>
      <c r="AJ251" s="255">
        <f t="shared" si="147"/>
      </c>
      <c r="AK251" s="255">
        <f t="shared" si="128"/>
      </c>
      <c r="AL251" s="255">
        <f t="shared" si="129"/>
      </c>
      <c r="AM251" s="120">
        <f ca="1" t="shared" si="155"/>
        <v>0</v>
      </c>
      <c r="AN251" s="120" t="e">
        <f t="shared" si="130"/>
        <v>#N/A</v>
      </c>
      <c r="AO251" s="120">
        <f>ROWS($AO$4:AO251)-1</f>
        <v>247</v>
      </c>
      <c r="AP251" s="255" t="e">
        <f t="shared" si="156"/>
        <v>#N/A</v>
      </c>
      <c r="AQ251" s="120" t="e">
        <f t="shared" si="131"/>
        <v>#N/A</v>
      </c>
      <c r="AR251" s="120" t="e">
        <f t="shared" si="159"/>
        <v>#N/A</v>
      </c>
      <c r="AS251" s="121">
        <f t="shared" si="152"/>
        <v>1</v>
      </c>
      <c r="AT251" s="120" t="str">
        <f t="shared" si="153"/>
        <v> </v>
      </c>
      <c r="AU251" s="120" t="str">
        <f t="shared" si="154"/>
        <v> </v>
      </c>
      <c r="AV251" s="120" t="e">
        <f t="shared" si="132"/>
        <v>#N/A</v>
      </c>
      <c r="AW251" s="120" t="e">
        <f t="shared" si="133"/>
        <v>#N/A</v>
      </c>
      <c r="AX251" s="120">
        <f t="shared" si="134"/>
      </c>
      <c r="AY251" s="120" t="e">
        <f t="shared" si="135"/>
        <v>#N/A</v>
      </c>
      <c r="AZ251" s="120" t="e">
        <f>VLOOKUP(AY251,'排出係数表'!$A$4:$C$202,2,FALSE)</f>
        <v>#N/A</v>
      </c>
      <c r="BA251" s="120" t="e">
        <f t="shared" si="136"/>
        <v>#N/A</v>
      </c>
      <c r="BB251" s="120" t="e">
        <f>VLOOKUP(AY251,'排出係数表'!$A$4:$C$202,3,FALSE)</f>
        <v>#N/A</v>
      </c>
      <c r="BC251" s="120" t="e">
        <f t="shared" si="137"/>
        <v>#N/A</v>
      </c>
      <c r="BD251" s="120">
        <f t="shared" si="148"/>
        <v>1</v>
      </c>
      <c r="BE251" s="122">
        <f t="shared" si="138"/>
      </c>
      <c r="BF251" s="123" t="e">
        <f t="shared" si="158"/>
        <v>#VALUE!</v>
      </c>
      <c r="BG251" s="122">
        <f t="shared" si="149"/>
      </c>
      <c r="BH251" s="120" t="e">
        <f t="shared" si="150"/>
        <v>#VALUE!</v>
      </c>
      <c r="BI251" s="120" t="e">
        <f t="shared" si="151"/>
        <v>#VALUE!</v>
      </c>
      <c r="BJ251" s="122" t="e">
        <f>VLOOKUP(AY251,'排出係数表'!$A$4:$D$202,4)</f>
        <v>#N/A</v>
      </c>
      <c r="BK251" s="257">
        <f t="shared" si="157"/>
      </c>
    </row>
    <row r="252" spans="1:63" s="124" customFormat="1" ht="13.5" customHeight="1">
      <c r="A252" s="120"/>
      <c r="B252" s="120"/>
      <c r="C252" s="155"/>
      <c r="D252" s="155"/>
      <c r="E252" s="155"/>
      <c r="F252" s="155"/>
      <c r="G252" s="156"/>
      <c r="H252" s="157"/>
      <c r="I252" s="155"/>
      <c r="J252" s="155"/>
      <c r="K252" s="158"/>
      <c r="L252" s="159"/>
      <c r="M252" s="244"/>
      <c r="N252" s="155"/>
      <c r="O252" s="345">
        <f t="shared" si="139"/>
      </c>
      <c r="P252" s="345">
        <f t="shared" si="125"/>
      </c>
      <c r="Q252" s="508"/>
      <c r="R252" s="346"/>
      <c r="S252" s="347"/>
      <c r="T252" s="348"/>
      <c r="U252" s="347"/>
      <c r="V252" s="348"/>
      <c r="W252" s="347"/>
      <c r="X252" s="348"/>
      <c r="Y252" s="347"/>
      <c r="Z252" s="348"/>
      <c r="AA252" s="340" t="e">
        <f t="shared" si="126"/>
        <v>#N/A</v>
      </c>
      <c r="AB252" s="339">
        <f t="shared" si="140"/>
      </c>
      <c r="AC252" s="339">
        <f t="shared" si="141"/>
      </c>
      <c r="AD252" s="255">
        <f t="shared" si="142"/>
      </c>
      <c r="AE252" s="256">
        <f t="shared" si="143"/>
      </c>
      <c r="AF252" s="256">
        <f t="shared" si="144"/>
      </c>
      <c r="AG252" s="255">
        <f t="shared" si="145"/>
      </c>
      <c r="AH252" s="255">
        <f t="shared" si="127"/>
      </c>
      <c r="AI252" s="255">
        <f t="shared" si="146"/>
      </c>
      <c r="AJ252" s="255">
        <f t="shared" si="147"/>
      </c>
      <c r="AK252" s="255">
        <f t="shared" si="128"/>
      </c>
      <c r="AL252" s="255">
        <f t="shared" si="129"/>
      </c>
      <c r="AM252" s="120">
        <f ca="1" t="shared" si="155"/>
        <v>0</v>
      </c>
      <c r="AN252" s="120" t="e">
        <f t="shared" si="130"/>
        <v>#N/A</v>
      </c>
      <c r="AO252" s="120">
        <f>ROWS($AO$4:AO252)-1</f>
        <v>248</v>
      </c>
      <c r="AP252" s="255" t="e">
        <f t="shared" si="156"/>
        <v>#N/A</v>
      </c>
      <c r="AQ252" s="120" t="e">
        <f t="shared" si="131"/>
        <v>#N/A</v>
      </c>
      <c r="AR252" s="120" t="e">
        <f t="shared" si="159"/>
        <v>#N/A</v>
      </c>
      <c r="AS252" s="121">
        <f t="shared" si="152"/>
        <v>1</v>
      </c>
      <c r="AT252" s="120" t="str">
        <f t="shared" si="153"/>
        <v> </v>
      </c>
      <c r="AU252" s="120" t="str">
        <f t="shared" si="154"/>
        <v> </v>
      </c>
      <c r="AV252" s="120" t="e">
        <f t="shared" si="132"/>
        <v>#N/A</v>
      </c>
      <c r="AW252" s="120" t="e">
        <f t="shared" si="133"/>
        <v>#N/A</v>
      </c>
      <c r="AX252" s="120">
        <f t="shared" si="134"/>
      </c>
      <c r="AY252" s="120" t="e">
        <f t="shared" si="135"/>
        <v>#N/A</v>
      </c>
      <c r="AZ252" s="120" t="e">
        <f>VLOOKUP(AY252,'排出係数表'!$A$4:$C$202,2,FALSE)</f>
        <v>#N/A</v>
      </c>
      <c r="BA252" s="120" t="e">
        <f t="shared" si="136"/>
        <v>#N/A</v>
      </c>
      <c r="BB252" s="120" t="e">
        <f>VLOOKUP(AY252,'排出係数表'!$A$4:$C$202,3,FALSE)</f>
        <v>#N/A</v>
      </c>
      <c r="BC252" s="120" t="e">
        <f t="shared" si="137"/>
        <v>#N/A</v>
      </c>
      <c r="BD252" s="120">
        <f t="shared" si="148"/>
        <v>1</v>
      </c>
      <c r="BE252" s="122">
        <f t="shared" si="138"/>
      </c>
      <c r="BF252" s="123" t="e">
        <f t="shared" si="158"/>
        <v>#VALUE!</v>
      </c>
      <c r="BG252" s="122">
        <f t="shared" si="149"/>
      </c>
      <c r="BH252" s="120" t="e">
        <f t="shared" si="150"/>
        <v>#VALUE!</v>
      </c>
      <c r="BI252" s="120" t="e">
        <f t="shared" si="151"/>
        <v>#VALUE!</v>
      </c>
      <c r="BJ252" s="122" t="e">
        <f>VLOOKUP(AY252,'排出係数表'!$A$4:$D$202,4)</f>
        <v>#N/A</v>
      </c>
      <c r="BK252" s="257">
        <f t="shared" si="157"/>
      </c>
    </row>
    <row r="253" spans="1:63" s="124" customFormat="1" ht="13.5" customHeight="1">
      <c r="A253" s="120"/>
      <c r="B253" s="120"/>
      <c r="C253" s="155"/>
      <c r="D253" s="155"/>
      <c r="E253" s="155"/>
      <c r="F253" s="155"/>
      <c r="G253" s="156"/>
      <c r="H253" s="157"/>
      <c r="I253" s="155"/>
      <c r="J253" s="155"/>
      <c r="K253" s="158"/>
      <c r="L253" s="159"/>
      <c r="M253" s="244"/>
      <c r="N253" s="155"/>
      <c r="O253" s="345">
        <f t="shared" si="139"/>
      </c>
      <c r="P253" s="345">
        <f t="shared" si="125"/>
      </c>
      <c r="Q253" s="508"/>
      <c r="R253" s="346"/>
      <c r="S253" s="347"/>
      <c r="T253" s="348"/>
      <c r="U253" s="347"/>
      <c r="V253" s="348"/>
      <c r="W253" s="347"/>
      <c r="X253" s="348"/>
      <c r="Y253" s="347"/>
      <c r="Z253" s="348"/>
      <c r="AA253" s="340" t="e">
        <f t="shared" si="126"/>
        <v>#N/A</v>
      </c>
      <c r="AB253" s="339">
        <f t="shared" si="140"/>
      </c>
      <c r="AC253" s="339">
        <f t="shared" si="141"/>
      </c>
      <c r="AD253" s="255">
        <f t="shared" si="142"/>
      </c>
      <c r="AE253" s="256">
        <f t="shared" si="143"/>
      </c>
      <c r="AF253" s="256">
        <f t="shared" si="144"/>
      </c>
      <c r="AG253" s="255">
        <f t="shared" si="145"/>
      </c>
      <c r="AH253" s="255">
        <f t="shared" si="127"/>
      </c>
      <c r="AI253" s="255">
        <f t="shared" si="146"/>
      </c>
      <c r="AJ253" s="255">
        <f t="shared" si="147"/>
      </c>
      <c r="AK253" s="255">
        <f t="shared" si="128"/>
      </c>
      <c r="AL253" s="255">
        <f t="shared" si="129"/>
      </c>
      <c r="AM253" s="120">
        <f ca="1" t="shared" si="155"/>
        <v>0</v>
      </c>
      <c r="AN253" s="120" t="e">
        <f t="shared" si="130"/>
        <v>#N/A</v>
      </c>
      <c r="AO253" s="120">
        <f>ROWS($AO$4:AO253)-1</f>
        <v>249</v>
      </c>
      <c r="AP253" s="255" t="e">
        <f t="shared" si="156"/>
        <v>#N/A</v>
      </c>
      <c r="AQ253" s="120" t="e">
        <f t="shared" si="131"/>
        <v>#N/A</v>
      </c>
      <c r="AR253" s="120" t="e">
        <f t="shared" si="159"/>
        <v>#N/A</v>
      </c>
      <c r="AS253" s="121">
        <f t="shared" si="152"/>
        <v>1</v>
      </c>
      <c r="AT253" s="120" t="str">
        <f t="shared" si="153"/>
        <v> </v>
      </c>
      <c r="AU253" s="120" t="str">
        <f t="shared" si="154"/>
        <v> </v>
      </c>
      <c r="AV253" s="120" t="e">
        <f t="shared" si="132"/>
        <v>#N/A</v>
      </c>
      <c r="AW253" s="120" t="e">
        <f t="shared" si="133"/>
        <v>#N/A</v>
      </c>
      <c r="AX253" s="120">
        <f t="shared" si="134"/>
      </c>
      <c r="AY253" s="120" t="e">
        <f t="shared" si="135"/>
        <v>#N/A</v>
      </c>
      <c r="AZ253" s="120" t="e">
        <f>VLOOKUP(AY253,'排出係数表'!$A$4:$C$202,2,FALSE)</f>
        <v>#N/A</v>
      </c>
      <c r="BA253" s="120" t="e">
        <f t="shared" si="136"/>
        <v>#N/A</v>
      </c>
      <c r="BB253" s="120" t="e">
        <f>VLOOKUP(AY253,'排出係数表'!$A$4:$C$202,3,FALSE)</f>
        <v>#N/A</v>
      </c>
      <c r="BC253" s="120" t="e">
        <f t="shared" si="137"/>
        <v>#N/A</v>
      </c>
      <c r="BD253" s="120">
        <f t="shared" si="148"/>
        <v>1</v>
      </c>
      <c r="BE253" s="122">
        <f t="shared" si="138"/>
      </c>
      <c r="BF253" s="123" t="e">
        <f t="shared" si="158"/>
        <v>#VALUE!</v>
      </c>
      <c r="BG253" s="122">
        <f t="shared" si="149"/>
      </c>
      <c r="BH253" s="120" t="e">
        <f t="shared" si="150"/>
        <v>#VALUE!</v>
      </c>
      <c r="BI253" s="120" t="e">
        <f t="shared" si="151"/>
        <v>#VALUE!</v>
      </c>
      <c r="BJ253" s="122" t="e">
        <f>VLOOKUP(AY253,'排出係数表'!$A$4:$D$202,4)</f>
        <v>#N/A</v>
      </c>
      <c r="BK253" s="257">
        <f t="shared" si="157"/>
      </c>
    </row>
    <row r="254" spans="1:63" s="124" customFormat="1" ht="13.5" customHeight="1">
      <c r="A254" s="120"/>
      <c r="B254" s="120"/>
      <c r="C254" s="155"/>
      <c r="D254" s="155"/>
      <c r="E254" s="155"/>
      <c r="F254" s="155"/>
      <c r="G254" s="156"/>
      <c r="H254" s="157"/>
      <c r="I254" s="155"/>
      <c r="J254" s="155"/>
      <c r="K254" s="158"/>
      <c r="L254" s="159"/>
      <c r="M254" s="244"/>
      <c r="N254" s="155"/>
      <c r="O254" s="345">
        <f t="shared" si="139"/>
      </c>
      <c r="P254" s="345">
        <f t="shared" si="125"/>
      </c>
      <c r="Q254" s="508"/>
      <c r="R254" s="346"/>
      <c r="S254" s="347"/>
      <c r="T254" s="348"/>
      <c r="U254" s="347"/>
      <c r="V254" s="348"/>
      <c r="W254" s="347"/>
      <c r="X254" s="348"/>
      <c r="Y254" s="347"/>
      <c r="Z254" s="348"/>
      <c r="AA254" s="340" t="e">
        <f t="shared" si="126"/>
        <v>#N/A</v>
      </c>
      <c r="AB254" s="339">
        <f t="shared" si="140"/>
      </c>
      <c r="AC254" s="339">
        <f t="shared" si="141"/>
      </c>
      <c r="AD254" s="255">
        <f t="shared" si="142"/>
      </c>
      <c r="AE254" s="256">
        <f t="shared" si="143"/>
      </c>
      <c r="AF254" s="256">
        <f t="shared" si="144"/>
      </c>
      <c r="AG254" s="255">
        <f t="shared" si="145"/>
      </c>
      <c r="AH254" s="255">
        <f t="shared" si="127"/>
      </c>
      <c r="AI254" s="255">
        <f t="shared" si="146"/>
      </c>
      <c r="AJ254" s="255">
        <f t="shared" si="147"/>
      </c>
      <c r="AK254" s="255">
        <f t="shared" si="128"/>
      </c>
      <c r="AL254" s="255">
        <f t="shared" si="129"/>
      </c>
      <c r="AM254" s="120">
        <f ca="1" t="shared" si="155"/>
        <v>0</v>
      </c>
      <c r="AN254" s="120" t="e">
        <f t="shared" si="130"/>
        <v>#N/A</v>
      </c>
      <c r="AO254" s="120">
        <f>ROWS($AO$4:AO254)-1</f>
        <v>250</v>
      </c>
      <c r="AP254" s="255" t="e">
        <f t="shared" si="156"/>
        <v>#N/A</v>
      </c>
      <c r="AQ254" s="120" t="e">
        <f t="shared" si="131"/>
        <v>#N/A</v>
      </c>
      <c r="AR254" s="120" t="e">
        <f t="shared" si="159"/>
        <v>#N/A</v>
      </c>
      <c r="AS254" s="121">
        <f t="shared" si="152"/>
        <v>1</v>
      </c>
      <c r="AT254" s="120" t="str">
        <f t="shared" si="153"/>
        <v> </v>
      </c>
      <c r="AU254" s="120" t="str">
        <f t="shared" si="154"/>
        <v> </v>
      </c>
      <c r="AV254" s="120" t="e">
        <f t="shared" si="132"/>
        <v>#N/A</v>
      </c>
      <c r="AW254" s="120" t="e">
        <f t="shared" si="133"/>
        <v>#N/A</v>
      </c>
      <c r="AX254" s="120">
        <f t="shared" si="134"/>
      </c>
      <c r="AY254" s="120" t="e">
        <f t="shared" si="135"/>
        <v>#N/A</v>
      </c>
      <c r="AZ254" s="120" t="e">
        <f>VLOOKUP(AY254,'排出係数表'!$A$4:$C$202,2,FALSE)</f>
        <v>#N/A</v>
      </c>
      <c r="BA254" s="120" t="e">
        <f t="shared" si="136"/>
        <v>#N/A</v>
      </c>
      <c r="BB254" s="120" t="e">
        <f>VLOOKUP(AY254,'排出係数表'!$A$4:$C$202,3,FALSE)</f>
        <v>#N/A</v>
      </c>
      <c r="BC254" s="120" t="e">
        <f t="shared" si="137"/>
        <v>#N/A</v>
      </c>
      <c r="BD254" s="120">
        <f t="shared" si="148"/>
        <v>1</v>
      </c>
      <c r="BE254" s="122">
        <f t="shared" si="138"/>
      </c>
      <c r="BF254" s="123" t="e">
        <f t="shared" si="158"/>
        <v>#VALUE!</v>
      </c>
      <c r="BG254" s="122">
        <f t="shared" si="149"/>
      </c>
      <c r="BH254" s="120" t="e">
        <f t="shared" si="150"/>
        <v>#VALUE!</v>
      </c>
      <c r="BI254" s="120" t="e">
        <f t="shared" si="151"/>
        <v>#VALUE!</v>
      </c>
      <c r="BJ254" s="122" t="e">
        <f>VLOOKUP(AY254,'排出係数表'!$A$4:$D$202,4)</f>
        <v>#N/A</v>
      </c>
      <c r="BK254" s="257">
        <f t="shared" si="157"/>
      </c>
    </row>
    <row r="255" spans="1:63" s="124" customFormat="1" ht="13.5" customHeight="1">
      <c r="A255" s="120"/>
      <c r="B255" s="120"/>
      <c r="C255" s="155"/>
      <c r="D255" s="155"/>
      <c r="E255" s="155"/>
      <c r="F255" s="155"/>
      <c r="G255" s="156"/>
      <c r="H255" s="157"/>
      <c r="I255" s="155"/>
      <c r="J255" s="155"/>
      <c r="K255" s="158"/>
      <c r="L255" s="159"/>
      <c r="M255" s="244"/>
      <c r="N255" s="155"/>
      <c r="O255" s="345">
        <f t="shared" si="139"/>
      </c>
      <c r="P255" s="345">
        <f t="shared" si="125"/>
      </c>
      <c r="Q255" s="508"/>
      <c r="R255" s="346"/>
      <c r="S255" s="347"/>
      <c r="T255" s="348"/>
      <c r="U255" s="347"/>
      <c r="V255" s="348"/>
      <c r="W255" s="347"/>
      <c r="X255" s="348"/>
      <c r="Y255" s="347"/>
      <c r="Z255" s="348"/>
      <c r="AA255" s="340" t="e">
        <f t="shared" si="126"/>
        <v>#N/A</v>
      </c>
      <c r="AB255" s="339">
        <f t="shared" si="140"/>
      </c>
      <c r="AC255" s="339">
        <f t="shared" si="141"/>
      </c>
      <c r="AD255" s="255">
        <f t="shared" si="142"/>
      </c>
      <c r="AE255" s="256">
        <f t="shared" si="143"/>
      </c>
      <c r="AF255" s="256">
        <f t="shared" si="144"/>
      </c>
      <c r="AG255" s="255">
        <f t="shared" si="145"/>
      </c>
      <c r="AH255" s="255">
        <f t="shared" si="127"/>
      </c>
      <c r="AI255" s="255">
        <f t="shared" si="146"/>
      </c>
      <c r="AJ255" s="255">
        <f t="shared" si="147"/>
      </c>
      <c r="AK255" s="255">
        <f t="shared" si="128"/>
      </c>
      <c r="AL255" s="255">
        <f t="shared" si="129"/>
      </c>
      <c r="AM255" s="120">
        <f ca="1" t="shared" si="155"/>
        <v>0</v>
      </c>
      <c r="AN255" s="120" t="e">
        <f t="shared" si="130"/>
        <v>#N/A</v>
      </c>
      <c r="AO255" s="120">
        <f>ROWS($AO$4:AO255)-1</f>
        <v>251</v>
      </c>
      <c r="AP255" s="255" t="e">
        <f t="shared" si="156"/>
        <v>#N/A</v>
      </c>
      <c r="AQ255" s="120" t="e">
        <f t="shared" si="131"/>
        <v>#N/A</v>
      </c>
      <c r="AR255" s="120" t="e">
        <f t="shared" si="159"/>
        <v>#N/A</v>
      </c>
      <c r="AS255" s="121">
        <f t="shared" si="152"/>
        <v>1</v>
      </c>
      <c r="AT255" s="120" t="str">
        <f t="shared" si="153"/>
        <v> </v>
      </c>
      <c r="AU255" s="120" t="str">
        <f t="shared" si="154"/>
        <v> </v>
      </c>
      <c r="AV255" s="120" t="e">
        <f t="shared" si="132"/>
        <v>#N/A</v>
      </c>
      <c r="AW255" s="120" t="e">
        <f t="shared" si="133"/>
        <v>#N/A</v>
      </c>
      <c r="AX255" s="120">
        <f t="shared" si="134"/>
      </c>
      <c r="AY255" s="120" t="e">
        <f t="shared" si="135"/>
        <v>#N/A</v>
      </c>
      <c r="AZ255" s="120" t="e">
        <f>VLOOKUP(AY255,'排出係数表'!$A$4:$C$202,2,FALSE)</f>
        <v>#N/A</v>
      </c>
      <c r="BA255" s="120" t="e">
        <f t="shared" si="136"/>
        <v>#N/A</v>
      </c>
      <c r="BB255" s="120" t="e">
        <f>VLOOKUP(AY255,'排出係数表'!$A$4:$C$202,3,FALSE)</f>
        <v>#N/A</v>
      </c>
      <c r="BC255" s="120" t="e">
        <f t="shared" si="137"/>
        <v>#N/A</v>
      </c>
      <c r="BD255" s="120">
        <f t="shared" si="148"/>
        <v>1</v>
      </c>
      <c r="BE255" s="122">
        <f t="shared" si="138"/>
      </c>
      <c r="BF255" s="123" t="e">
        <f t="shared" si="158"/>
        <v>#VALUE!</v>
      </c>
      <c r="BG255" s="122">
        <f t="shared" si="149"/>
      </c>
      <c r="BH255" s="120" t="e">
        <f t="shared" si="150"/>
        <v>#VALUE!</v>
      </c>
      <c r="BI255" s="120" t="e">
        <f t="shared" si="151"/>
        <v>#VALUE!</v>
      </c>
      <c r="BJ255" s="122" t="e">
        <f>VLOOKUP(AY255,'排出係数表'!$A$4:$D$202,4)</f>
        <v>#N/A</v>
      </c>
      <c r="BK255" s="257">
        <f t="shared" si="157"/>
      </c>
    </row>
    <row r="256" spans="1:63" s="124" customFormat="1" ht="13.5" customHeight="1">
      <c r="A256" s="120"/>
      <c r="B256" s="120"/>
      <c r="C256" s="155"/>
      <c r="D256" s="155"/>
      <c r="E256" s="155"/>
      <c r="F256" s="155"/>
      <c r="G256" s="156"/>
      <c r="H256" s="157"/>
      <c r="I256" s="155"/>
      <c r="J256" s="155"/>
      <c r="K256" s="158"/>
      <c r="L256" s="159"/>
      <c r="M256" s="244"/>
      <c r="N256" s="155"/>
      <c r="O256" s="345">
        <f t="shared" si="139"/>
      </c>
      <c r="P256" s="345">
        <f t="shared" si="125"/>
      </c>
      <c r="Q256" s="508"/>
      <c r="R256" s="346"/>
      <c r="S256" s="347"/>
      <c r="T256" s="348"/>
      <c r="U256" s="347"/>
      <c r="V256" s="348"/>
      <c r="W256" s="347"/>
      <c r="X256" s="348"/>
      <c r="Y256" s="347"/>
      <c r="Z256" s="348"/>
      <c r="AA256" s="340" t="e">
        <f t="shared" si="126"/>
        <v>#N/A</v>
      </c>
      <c r="AB256" s="339">
        <f t="shared" si="140"/>
      </c>
      <c r="AC256" s="339">
        <f t="shared" si="141"/>
      </c>
      <c r="AD256" s="255">
        <f t="shared" si="142"/>
      </c>
      <c r="AE256" s="256">
        <f t="shared" si="143"/>
      </c>
      <c r="AF256" s="256">
        <f t="shared" si="144"/>
      </c>
      <c r="AG256" s="255">
        <f t="shared" si="145"/>
      </c>
      <c r="AH256" s="255">
        <f t="shared" si="127"/>
      </c>
      <c r="AI256" s="255">
        <f t="shared" si="146"/>
      </c>
      <c r="AJ256" s="255">
        <f t="shared" si="147"/>
      </c>
      <c r="AK256" s="255">
        <f t="shared" si="128"/>
      </c>
      <c r="AL256" s="255">
        <f t="shared" si="129"/>
      </c>
      <c r="AM256" s="120">
        <f ca="1" t="shared" si="155"/>
        <v>0</v>
      </c>
      <c r="AN256" s="120" t="e">
        <f t="shared" si="130"/>
        <v>#N/A</v>
      </c>
      <c r="AO256" s="120">
        <f>ROWS($AO$4:AO256)-1</f>
        <v>252</v>
      </c>
      <c r="AP256" s="255" t="e">
        <f t="shared" si="156"/>
        <v>#N/A</v>
      </c>
      <c r="AQ256" s="120" t="e">
        <f t="shared" si="131"/>
        <v>#N/A</v>
      </c>
      <c r="AR256" s="120" t="e">
        <f t="shared" si="159"/>
        <v>#N/A</v>
      </c>
      <c r="AS256" s="121">
        <f t="shared" si="152"/>
        <v>1</v>
      </c>
      <c r="AT256" s="120" t="str">
        <f t="shared" si="153"/>
        <v> </v>
      </c>
      <c r="AU256" s="120" t="str">
        <f t="shared" si="154"/>
        <v> </v>
      </c>
      <c r="AV256" s="120" t="e">
        <f t="shared" si="132"/>
        <v>#N/A</v>
      </c>
      <c r="AW256" s="120" t="e">
        <f t="shared" si="133"/>
        <v>#N/A</v>
      </c>
      <c r="AX256" s="120">
        <f t="shared" si="134"/>
      </c>
      <c r="AY256" s="120" t="e">
        <f t="shared" si="135"/>
        <v>#N/A</v>
      </c>
      <c r="AZ256" s="120" t="e">
        <f>VLOOKUP(AY256,'排出係数表'!$A$4:$C$202,2,FALSE)</f>
        <v>#N/A</v>
      </c>
      <c r="BA256" s="120" t="e">
        <f t="shared" si="136"/>
        <v>#N/A</v>
      </c>
      <c r="BB256" s="120" t="e">
        <f>VLOOKUP(AY256,'排出係数表'!$A$4:$C$202,3,FALSE)</f>
        <v>#N/A</v>
      </c>
      <c r="BC256" s="120" t="e">
        <f t="shared" si="137"/>
        <v>#N/A</v>
      </c>
      <c r="BD256" s="120">
        <f t="shared" si="148"/>
        <v>1</v>
      </c>
      <c r="BE256" s="122">
        <f t="shared" si="138"/>
      </c>
      <c r="BF256" s="123" t="e">
        <f t="shared" si="158"/>
        <v>#VALUE!</v>
      </c>
      <c r="BG256" s="122">
        <f t="shared" si="149"/>
      </c>
      <c r="BH256" s="120" t="e">
        <f t="shared" si="150"/>
        <v>#VALUE!</v>
      </c>
      <c r="BI256" s="120" t="e">
        <f t="shared" si="151"/>
        <v>#VALUE!</v>
      </c>
      <c r="BJ256" s="122" t="e">
        <f>VLOOKUP(AY256,'排出係数表'!$A$4:$D$202,4)</f>
        <v>#N/A</v>
      </c>
      <c r="BK256" s="257">
        <f t="shared" si="157"/>
      </c>
    </row>
    <row r="257" spans="1:63" s="124" customFormat="1" ht="13.5" customHeight="1">
      <c r="A257" s="120"/>
      <c r="B257" s="120"/>
      <c r="C257" s="155"/>
      <c r="D257" s="155"/>
      <c r="E257" s="155"/>
      <c r="F257" s="155"/>
      <c r="G257" s="156"/>
      <c r="H257" s="157"/>
      <c r="I257" s="155"/>
      <c r="J257" s="155"/>
      <c r="K257" s="158"/>
      <c r="L257" s="159"/>
      <c r="M257" s="244"/>
      <c r="N257" s="155"/>
      <c r="O257" s="345">
        <f t="shared" si="139"/>
      </c>
      <c r="P257" s="345">
        <f t="shared" si="125"/>
      </c>
      <c r="Q257" s="508"/>
      <c r="R257" s="346"/>
      <c r="S257" s="347"/>
      <c r="T257" s="348"/>
      <c r="U257" s="347"/>
      <c r="V257" s="348"/>
      <c r="W257" s="347"/>
      <c r="X257" s="348"/>
      <c r="Y257" s="347"/>
      <c r="Z257" s="348"/>
      <c r="AA257" s="340" t="e">
        <f t="shared" si="126"/>
        <v>#N/A</v>
      </c>
      <c r="AB257" s="339">
        <f t="shared" si="140"/>
      </c>
      <c r="AC257" s="339">
        <f t="shared" si="141"/>
      </c>
      <c r="AD257" s="255">
        <f t="shared" si="142"/>
      </c>
      <c r="AE257" s="256">
        <f t="shared" si="143"/>
      </c>
      <c r="AF257" s="256">
        <f t="shared" si="144"/>
      </c>
      <c r="AG257" s="255">
        <f t="shared" si="145"/>
      </c>
      <c r="AH257" s="255">
        <f t="shared" si="127"/>
      </c>
      <c r="AI257" s="255">
        <f t="shared" si="146"/>
      </c>
      <c r="AJ257" s="255">
        <f t="shared" si="147"/>
      </c>
      <c r="AK257" s="255">
        <f t="shared" si="128"/>
      </c>
      <c r="AL257" s="255">
        <f t="shared" si="129"/>
      </c>
      <c r="AM257" s="120">
        <f ca="1" t="shared" si="155"/>
        <v>0</v>
      </c>
      <c r="AN257" s="120" t="e">
        <f t="shared" si="130"/>
        <v>#N/A</v>
      </c>
      <c r="AO257" s="120">
        <f>ROWS($AO$4:AO257)-1</f>
        <v>253</v>
      </c>
      <c r="AP257" s="255" t="e">
        <f t="shared" si="156"/>
        <v>#N/A</v>
      </c>
      <c r="AQ257" s="120" t="e">
        <f t="shared" si="131"/>
        <v>#N/A</v>
      </c>
      <c r="AR257" s="120" t="e">
        <f t="shared" si="159"/>
        <v>#N/A</v>
      </c>
      <c r="AS257" s="121">
        <f t="shared" si="152"/>
        <v>1</v>
      </c>
      <c r="AT257" s="120" t="str">
        <f t="shared" si="153"/>
        <v> </v>
      </c>
      <c r="AU257" s="120" t="str">
        <f t="shared" si="154"/>
        <v> </v>
      </c>
      <c r="AV257" s="120" t="e">
        <f t="shared" si="132"/>
        <v>#N/A</v>
      </c>
      <c r="AW257" s="120" t="e">
        <f t="shared" si="133"/>
        <v>#N/A</v>
      </c>
      <c r="AX257" s="120">
        <f t="shared" si="134"/>
      </c>
      <c r="AY257" s="120" t="e">
        <f t="shared" si="135"/>
        <v>#N/A</v>
      </c>
      <c r="AZ257" s="120" t="e">
        <f>VLOOKUP(AY257,'排出係数表'!$A$4:$C$202,2,FALSE)</f>
        <v>#N/A</v>
      </c>
      <c r="BA257" s="120" t="e">
        <f t="shared" si="136"/>
        <v>#N/A</v>
      </c>
      <c r="BB257" s="120" t="e">
        <f>VLOOKUP(AY257,'排出係数表'!$A$4:$C$202,3,FALSE)</f>
        <v>#N/A</v>
      </c>
      <c r="BC257" s="120" t="e">
        <f t="shared" si="137"/>
        <v>#N/A</v>
      </c>
      <c r="BD257" s="120">
        <f t="shared" si="148"/>
        <v>1</v>
      </c>
      <c r="BE257" s="122">
        <f t="shared" si="138"/>
      </c>
      <c r="BF257" s="123" t="e">
        <f t="shared" si="158"/>
        <v>#VALUE!</v>
      </c>
      <c r="BG257" s="122">
        <f t="shared" si="149"/>
      </c>
      <c r="BH257" s="120" t="e">
        <f t="shared" si="150"/>
        <v>#VALUE!</v>
      </c>
      <c r="BI257" s="120" t="e">
        <f t="shared" si="151"/>
        <v>#VALUE!</v>
      </c>
      <c r="BJ257" s="122" t="e">
        <f>VLOOKUP(AY257,'排出係数表'!$A$4:$D$202,4)</f>
        <v>#N/A</v>
      </c>
      <c r="BK257" s="257">
        <f t="shared" si="157"/>
      </c>
    </row>
    <row r="258" spans="1:63" s="124" customFormat="1" ht="13.5" customHeight="1">
      <c r="A258" s="120"/>
      <c r="B258" s="120"/>
      <c r="C258" s="155"/>
      <c r="D258" s="155"/>
      <c r="E258" s="155"/>
      <c r="F258" s="155"/>
      <c r="G258" s="156"/>
      <c r="H258" s="157"/>
      <c r="I258" s="155"/>
      <c r="J258" s="155"/>
      <c r="K258" s="158"/>
      <c r="L258" s="159"/>
      <c r="M258" s="244"/>
      <c r="N258" s="155"/>
      <c r="O258" s="345">
        <f t="shared" si="139"/>
      </c>
      <c r="P258" s="345">
        <f t="shared" si="125"/>
      </c>
      <c r="Q258" s="508"/>
      <c r="R258" s="346"/>
      <c r="S258" s="347"/>
      <c r="T258" s="348"/>
      <c r="U258" s="347"/>
      <c r="V258" s="348"/>
      <c r="W258" s="347"/>
      <c r="X258" s="348"/>
      <c r="Y258" s="347"/>
      <c r="Z258" s="348"/>
      <c r="AA258" s="340" t="e">
        <f t="shared" si="126"/>
        <v>#N/A</v>
      </c>
      <c r="AB258" s="339">
        <f t="shared" si="140"/>
      </c>
      <c r="AC258" s="339">
        <f t="shared" si="141"/>
      </c>
      <c r="AD258" s="255">
        <f t="shared" si="142"/>
      </c>
      <c r="AE258" s="256">
        <f t="shared" si="143"/>
      </c>
      <c r="AF258" s="256">
        <f t="shared" si="144"/>
      </c>
      <c r="AG258" s="255">
        <f t="shared" si="145"/>
      </c>
      <c r="AH258" s="255">
        <f t="shared" si="127"/>
      </c>
      <c r="AI258" s="255">
        <f t="shared" si="146"/>
      </c>
      <c r="AJ258" s="255">
        <f t="shared" si="147"/>
      </c>
      <c r="AK258" s="255">
        <f t="shared" si="128"/>
      </c>
      <c r="AL258" s="255">
        <f t="shared" si="129"/>
      </c>
      <c r="AM258" s="120">
        <f ca="1" t="shared" si="155"/>
        <v>0</v>
      </c>
      <c r="AN258" s="120" t="e">
        <f t="shared" si="130"/>
        <v>#N/A</v>
      </c>
      <c r="AO258" s="120">
        <f>ROWS($AO$4:AO258)-1</f>
        <v>254</v>
      </c>
      <c r="AP258" s="255" t="e">
        <f t="shared" si="156"/>
        <v>#N/A</v>
      </c>
      <c r="AQ258" s="120" t="e">
        <f t="shared" si="131"/>
        <v>#N/A</v>
      </c>
      <c r="AR258" s="120" t="e">
        <f t="shared" si="159"/>
        <v>#N/A</v>
      </c>
      <c r="AS258" s="121">
        <f t="shared" si="152"/>
        <v>1</v>
      </c>
      <c r="AT258" s="120" t="str">
        <f t="shared" si="153"/>
        <v> </v>
      </c>
      <c r="AU258" s="120" t="str">
        <f t="shared" si="154"/>
        <v> </v>
      </c>
      <c r="AV258" s="120" t="e">
        <f t="shared" si="132"/>
        <v>#N/A</v>
      </c>
      <c r="AW258" s="120" t="e">
        <f t="shared" si="133"/>
        <v>#N/A</v>
      </c>
      <c r="AX258" s="120">
        <f t="shared" si="134"/>
      </c>
      <c r="AY258" s="120" t="e">
        <f t="shared" si="135"/>
        <v>#N/A</v>
      </c>
      <c r="AZ258" s="120" t="e">
        <f>VLOOKUP(AY258,'排出係数表'!$A$4:$C$202,2,FALSE)</f>
        <v>#N/A</v>
      </c>
      <c r="BA258" s="120" t="e">
        <f t="shared" si="136"/>
        <v>#N/A</v>
      </c>
      <c r="BB258" s="120" t="e">
        <f>VLOOKUP(AY258,'排出係数表'!$A$4:$C$202,3,FALSE)</f>
        <v>#N/A</v>
      </c>
      <c r="BC258" s="120" t="e">
        <f t="shared" si="137"/>
        <v>#N/A</v>
      </c>
      <c r="BD258" s="120">
        <f t="shared" si="148"/>
        <v>1</v>
      </c>
      <c r="BE258" s="122">
        <f t="shared" si="138"/>
      </c>
      <c r="BF258" s="123" t="e">
        <f t="shared" si="158"/>
        <v>#VALUE!</v>
      </c>
      <c r="BG258" s="122">
        <f t="shared" si="149"/>
      </c>
      <c r="BH258" s="120" t="e">
        <f t="shared" si="150"/>
        <v>#VALUE!</v>
      </c>
      <c r="BI258" s="120" t="e">
        <f t="shared" si="151"/>
        <v>#VALUE!</v>
      </c>
      <c r="BJ258" s="122" t="e">
        <f>VLOOKUP(AY258,'排出係数表'!$A$4:$D$202,4)</f>
        <v>#N/A</v>
      </c>
      <c r="BK258" s="257">
        <f t="shared" si="157"/>
      </c>
    </row>
    <row r="259" spans="1:63" s="124" customFormat="1" ht="13.5" customHeight="1">
      <c r="A259" s="120"/>
      <c r="B259" s="120"/>
      <c r="C259" s="155"/>
      <c r="D259" s="155"/>
      <c r="E259" s="155"/>
      <c r="F259" s="155"/>
      <c r="G259" s="156"/>
      <c r="H259" s="157"/>
      <c r="I259" s="155"/>
      <c r="J259" s="155"/>
      <c r="K259" s="158"/>
      <c r="L259" s="159"/>
      <c r="M259" s="244"/>
      <c r="N259" s="155"/>
      <c r="O259" s="345">
        <f t="shared" si="139"/>
      </c>
      <c r="P259" s="345">
        <f t="shared" si="125"/>
      </c>
      <c r="Q259" s="508"/>
      <c r="R259" s="346"/>
      <c r="S259" s="347"/>
      <c r="T259" s="348"/>
      <c r="U259" s="347"/>
      <c r="V259" s="348"/>
      <c r="W259" s="347"/>
      <c r="X259" s="348"/>
      <c r="Y259" s="347"/>
      <c r="Z259" s="348"/>
      <c r="AA259" s="340" t="e">
        <f t="shared" si="126"/>
        <v>#N/A</v>
      </c>
      <c r="AB259" s="339">
        <f t="shared" si="140"/>
      </c>
      <c r="AC259" s="339">
        <f t="shared" si="141"/>
      </c>
      <c r="AD259" s="255">
        <f t="shared" si="142"/>
      </c>
      <c r="AE259" s="256">
        <f t="shared" si="143"/>
      </c>
      <c r="AF259" s="256">
        <f t="shared" si="144"/>
      </c>
      <c r="AG259" s="255">
        <f t="shared" si="145"/>
      </c>
      <c r="AH259" s="255">
        <f t="shared" si="127"/>
      </c>
      <c r="AI259" s="255">
        <f t="shared" si="146"/>
      </c>
      <c r="AJ259" s="255">
        <f t="shared" si="147"/>
      </c>
      <c r="AK259" s="255">
        <f t="shared" si="128"/>
      </c>
      <c r="AL259" s="255">
        <f t="shared" si="129"/>
      </c>
      <c r="AM259" s="120">
        <f ca="1" t="shared" si="155"/>
        <v>0</v>
      </c>
      <c r="AN259" s="120" t="e">
        <f t="shared" si="130"/>
        <v>#N/A</v>
      </c>
      <c r="AO259" s="120">
        <f>ROWS($AO$4:AO259)-1</f>
        <v>255</v>
      </c>
      <c r="AP259" s="255" t="e">
        <f t="shared" si="156"/>
        <v>#N/A</v>
      </c>
      <c r="AQ259" s="120" t="e">
        <f t="shared" si="131"/>
        <v>#N/A</v>
      </c>
      <c r="AR259" s="120" t="e">
        <f t="shared" si="159"/>
        <v>#N/A</v>
      </c>
      <c r="AS259" s="121">
        <f t="shared" si="152"/>
        <v>1</v>
      </c>
      <c r="AT259" s="120" t="str">
        <f t="shared" si="153"/>
        <v> </v>
      </c>
      <c r="AU259" s="120" t="str">
        <f t="shared" si="154"/>
        <v> </v>
      </c>
      <c r="AV259" s="120" t="e">
        <f t="shared" si="132"/>
        <v>#N/A</v>
      </c>
      <c r="AW259" s="120" t="e">
        <f t="shared" si="133"/>
        <v>#N/A</v>
      </c>
      <c r="AX259" s="120">
        <f t="shared" si="134"/>
      </c>
      <c r="AY259" s="120" t="e">
        <f t="shared" si="135"/>
        <v>#N/A</v>
      </c>
      <c r="AZ259" s="120" t="e">
        <f>VLOOKUP(AY259,'排出係数表'!$A$4:$C$202,2,FALSE)</f>
        <v>#N/A</v>
      </c>
      <c r="BA259" s="120" t="e">
        <f t="shared" si="136"/>
        <v>#N/A</v>
      </c>
      <c r="BB259" s="120" t="e">
        <f>VLOOKUP(AY259,'排出係数表'!$A$4:$C$202,3,FALSE)</f>
        <v>#N/A</v>
      </c>
      <c r="BC259" s="120" t="e">
        <f t="shared" si="137"/>
        <v>#N/A</v>
      </c>
      <c r="BD259" s="120">
        <f t="shared" si="148"/>
        <v>1</v>
      </c>
      <c r="BE259" s="122">
        <f t="shared" si="138"/>
      </c>
      <c r="BF259" s="123" t="e">
        <f t="shared" si="158"/>
        <v>#VALUE!</v>
      </c>
      <c r="BG259" s="122">
        <f t="shared" si="149"/>
      </c>
      <c r="BH259" s="120" t="e">
        <f t="shared" si="150"/>
        <v>#VALUE!</v>
      </c>
      <c r="BI259" s="120" t="e">
        <f t="shared" si="151"/>
        <v>#VALUE!</v>
      </c>
      <c r="BJ259" s="122" t="e">
        <f>VLOOKUP(AY259,'排出係数表'!$A$4:$D$202,4)</f>
        <v>#N/A</v>
      </c>
      <c r="BK259" s="257">
        <f t="shared" si="157"/>
      </c>
    </row>
    <row r="260" spans="1:63" s="124" customFormat="1" ht="13.5" customHeight="1">
      <c r="A260" s="120"/>
      <c r="B260" s="120"/>
      <c r="C260" s="155"/>
      <c r="D260" s="155"/>
      <c r="E260" s="155"/>
      <c r="F260" s="155"/>
      <c r="G260" s="156"/>
      <c r="H260" s="157"/>
      <c r="I260" s="155"/>
      <c r="J260" s="155"/>
      <c r="K260" s="158"/>
      <c r="L260" s="159"/>
      <c r="M260" s="244"/>
      <c r="N260" s="155"/>
      <c r="O260" s="345">
        <f t="shared" si="139"/>
      </c>
      <c r="P260" s="345">
        <f t="shared" si="125"/>
      </c>
      <c r="Q260" s="508"/>
      <c r="R260" s="346"/>
      <c r="S260" s="347"/>
      <c r="T260" s="348"/>
      <c r="U260" s="347"/>
      <c r="V260" s="348"/>
      <c r="W260" s="347"/>
      <c r="X260" s="348"/>
      <c r="Y260" s="347"/>
      <c r="Z260" s="348"/>
      <c r="AA260" s="340" t="e">
        <f t="shared" si="126"/>
        <v>#N/A</v>
      </c>
      <c r="AB260" s="339">
        <f t="shared" si="140"/>
      </c>
      <c r="AC260" s="339">
        <f t="shared" si="141"/>
      </c>
      <c r="AD260" s="255">
        <f t="shared" si="142"/>
      </c>
      <c r="AE260" s="256">
        <f t="shared" si="143"/>
      </c>
      <c r="AF260" s="256">
        <f t="shared" si="144"/>
      </c>
      <c r="AG260" s="255">
        <f t="shared" si="145"/>
      </c>
      <c r="AH260" s="255">
        <f t="shared" si="127"/>
      </c>
      <c r="AI260" s="255">
        <f t="shared" si="146"/>
      </c>
      <c r="AJ260" s="255">
        <f t="shared" si="147"/>
      </c>
      <c r="AK260" s="255">
        <f t="shared" si="128"/>
      </c>
      <c r="AL260" s="255">
        <f t="shared" si="129"/>
      </c>
      <c r="AM260" s="120">
        <f ca="1" t="shared" si="155"/>
        <v>0</v>
      </c>
      <c r="AN260" s="120" t="e">
        <f t="shared" si="130"/>
        <v>#N/A</v>
      </c>
      <c r="AO260" s="120">
        <f>ROWS($AO$4:AO260)-1</f>
        <v>256</v>
      </c>
      <c r="AP260" s="255" t="e">
        <f t="shared" si="156"/>
        <v>#N/A</v>
      </c>
      <c r="AQ260" s="120" t="e">
        <f t="shared" si="131"/>
        <v>#N/A</v>
      </c>
      <c r="AR260" s="120" t="e">
        <f t="shared" si="159"/>
        <v>#N/A</v>
      </c>
      <c r="AS260" s="121">
        <f t="shared" si="152"/>
        <v>1</v>
      </c>
      <c r="AT260" s="120" t="str">
        <f t="shared" si="153"/>
        <v> </v>
      </c>
      <c r="AU260" s="120" t="str">
        <f t="shared" si="154"/>
        <v> </v>
      </c>
      <c r="AV260" s="120" t="e">
        <f t="shared" si="132"/>
        <v>#N/A</v>
      </c>
      <c r="AW260" s="120" t="e">
        <f t="shared" si="133"/>
        <v>#N/A</v>
      </c>
      <c r="AX260" s="120">
        <f t="shared" si="134"/>
      </c>
      <c r="AY260" s="120" t="e">
        <f t="shared" si="135"/>
        <v>#N/A</v>
      </c>
      <c r="AZ260" s="120" t="e">
        <f>VLOOKUP(AY260,'排出係数表'!$A$4:$C$202,2,FALSE)</f>
        <v>#N/A</v>
      </c>
      <c r="BA260" s="120" t="e">
        <f t="shared" si="136"/>
        <v>#N/A</v>
      </c>
      <c r="BB260" s="120" t="e">
        <f>VLOOKUP(AY260,'排出係数表'!$A$4:$C$202,3,FALSE)</f>
        <v>#N/A</v>
      </c>
      <c r="BC260" s="120" t="e">
        <f t="shared" si="137"/>
        <v>#N/A</v>
      </c>
      <c r="BD260" s="120">
        <f t="shared" si="148"/>
        <v>1</v>
      </c>
      <c r="BE260" s="122">
        <f t="shared" si="138"/>
      </c>
      <c r="BF260" s="123" t="e">
        <f t="shared" si="158"/>
        <v>#VALUE!</v>
      </c>
      <c r="BG260" s="122">
        <f t="shared" si="149"/>
      </c>
      <c r="BH260" s="120" t="e">
        <f t="shared" si="150"/>
        <v>#VALUE!</v>
      </c>
      <c r="BI260" s="120" t="e">
        <f t="shared" si="151"/>
        <v>#VALUE!</v>
      </c>
      <c r="BJ260" s="122" t="e">
        <f>VLOOKUP(AY260,'排出係数表'!$A$4:$D$202,4)</f>
        <v>#N/A</v>
      </c>
      <c r="BK260" s="257">
        <f t="shared" si="157"/>
      </c>
    </row>
    <row r="261" spans="1:63" s="124" customFormat="1" ht="13.5" customHeight="1">
      <c r="A261" s="120"/>
      <c r="B261" s="120"/>
      <c r="C261" s="155"/>
      <c r="D261" s="155"/>
      <c r="E261" s="155"/>
      <c r="F261" s="155"/>
      <c r="G261" s="156"/>
      <c r="H261" s="157"/>
      <c r="I261" s="155"/>
      <c r="J261" s="155"/>
      <c r="K261" s="158"/>
      <c r="L261" s="159"/>
      <c r="M261" s="244"/>
      <c r="N261" s="155"/>
      <c r="O261" s="345">
        <f t="shared" si="139"/>
      </c>
      <c r="P261" s="345">
        <f aca="true" t="shared" si="160" ref="P261:P304">IF(ISBLANK(J261)=TRUE,"",IF(AW261="メ","要確認",IF(ISNUMBER(BB261*BC261)=TRUE,BB261*BC261,"要確認")))</f>
      </c>
      <c r="Q261" s="508"/>
      <c r="R261" s="346"/>
      <c r="S261" s="347"/>
      <c r="T261" s="348"/>
      <c r="U261" s="347"/>
      <c r="V261" s="348"/>
      <c r="W261" s="347"/>
      <c r="X261" s="348"/>
      <c r="Y261" s="347"/>
      <c r="Z261" s="348"/>
      <c r="AA261" s="340" t="e">
        <f aca="true" t="shared" si="161" ref="AA261:AA304">IF(AND(BJ261="否",T261&lt;&gt;"廃止",V261&lt;&gt;"廃止",X261&lt;&gt;"廃止",Z261&lt;&gt;"廃止"),IF(OR(AND(OR(LEFT(F261,1)="1",LEFT(F261,1)="4"),BK261&lt;"199704"),AND(LEFT(F261,1)="2",BK261&lt;"199804"),AND(LEFT(F261,1)="3",I261&gt;6000,BK261&lt;"199404"),AND(LEFT(F261,1)="3",I261&lt;=6000,BK261&lt;"199604"),AND(OR(LEFT(F261,1)="5",LEFT(F261,1)="6",LEFT(F261,1)="7",LEFT(F261,1)="8"),BK261&lt;"199604")),"★",""),"")</f>
        <v>#N/A</v>
      </c>
      <c r="AB261" s="339">
        <f t="shared" si="140"/>
      </c>
      <c r="AC261" s="339">
        <f t="shared" si="141"/>
      </c>
      <c r="AD261" s="255">
        <f t="shared" si="142"/>
      </c>
      <c r="AE261" s="256">
        <f t="shared" si="143"/>
      </c>
      <c r="AF261" s="256">
        <f t="shared" si="144"/>
      </c>
      <c r="AG261" s="255">
        <f t="shared" si="145"/>
      </c>
      <c r="AH261" s="255">
        <f aca="true" t="shared" si="162" ref="AH261:AH304">IF(J261="","",LOOKUP($F$1,実績報告年度,$L$336:$L$339))</f>
      </c>
      <c r="AI261" s="255">
        <f t="shared" si="146"/>
      </c>
      <c r="AJ261" s="255">
        <f t="shared" si="147"/>
      </c>
      <c r="AK261" s="255">
        <f aca="true" t="shared" si="163" ref="AK261:AK304">IF(J261="","",IF(AND((AH261&gt;=AG261),(AH261&lt;=AI261)),1,0))</f>
      </c>
      <c r="AL261" s="255">
        <f aca="true" t="shared" si="164" ref="AL261:AL304">IF(J261="","",IF(AND((AH261&gt;=AG261),(AH261&lt;AI261)),1,0))</f>
      </c>
      <c r="AM261" s="120">
        <f ca="1" t="shared" si="155"/>
        <v>0</v>
      </c>
      <c r="AN261" s="120" t="e">
        <f aca="true" t="shared" si="165" ref="AN261:AN304">MATCH(AO261,$AM$5:$AM$304,0)</f>
        <v>#N/A</v>
      </c>
      <c r="AO261" s="120">
        <f>ROWS($AO$4:AO261)-1</f>
        <v>257</v>
      </c>
      <c r="AP261" s="255" t="e">
        <f t="shared" si="156"/>
        <v>#N/A</v>
      </c>
      <c r="AQ261" s="120" t="e">
        <f aca="true" t="shared" si="166" ref="AQ261:AQ304">LOOKUP(F261,種類,$L$307:$L$314)</f>
        <v>#N/A</v>
      </c>
      <c r="AR261" s="120" t="e">
        <f t="shared" si="159"/>
        <v>#N/A</v>
      </c>
      <c r="AS261" s="121">
        <f t="shared" si="152"/>
        <v>1</v>
      </c>
      <c r="AT261" s="120" t="str">
        <f t="shared" si="153"/>
        <v> </v>
      </c>
      <c r="AU261" s="120" t="str">
        <f t="shared" si="154"/>
        <v> </v>
      </c>
      <c r="AV261" s="120" t="e">
        <f aca="true" t="shared" si="167" ref="AV261:AV304">IF(AQ261="乗",0,IF(LEFT(F261,1)="4",0,IF(I261&lt;=1700,1,IF(I261&lt;=2500,2,IF(I261&lt;=3500,3,4)))))</f>
        <v>#N/A</v>
      </c>
      <c r="AW261" s="120" t="e">
        <f aca="true" t="shared" si="168" ref="AW261:AW304">LOOKUP(J261,燃料,$L$317:$L$333)</f>
        <v>#N/A</v>
      </c>
      <c r="AX261" s="120">
        <f aca="true" t="shared" si="169" ref="AX261:AX304">IF(ISERROR(SEARCH("-",ASC(G261),1))=TRUE,UPPER(ASC(G261)),UPPER(LEFT(ASC(G261),SEARCH("-",ASC(G261),1)-1)))</f>
      </c>
      <c r="AY261" s="120" t="e">
        <f aca="true" t="shared" si="170" ref="AY261:AY304">IF(AW261="電","電",CONCATENATE(AQ261,AV261,AW261,AX261))</f>
        <v>#N/A</v>
      </c>
      <c r="AZ261" s="120" t="e">
        <f>VLOOKUP(AY261,'排出係数表'!$A$4:$C$202,2,FALSE)</f>
        <v>#N/A</v>
      </c>
      <c r="BA261" s="120" t="e">
        <f aca="true" t="shared" si="171" ref="BA261:BA304">IF(OR(AND(LEFT(AX261,1)="U",AX261&lt;&gt;"U"),AND(LEFT(AX261,1)="L",AX261&lt;&gt;"L"),AND(LEFT(AX261,1)="T",AX261&lt;&gt;"T"),AND(LEFT(AX261,1)="Z",AX261&lt;&gt;"Z"),AND(LEFT(AX261,1)="Y",AX261&lt;&gt;"Y"),AND(LEFT(AX261,1)="X",AX261&lt;&gt;"X")),1,LOOKUP(J261,燃料,$M$317:$M$333))</f>
        <v>#N/A</v>
      </c>
      <c r="BB261" s="120" t="e">
        <f>VLOOKUP(AY261,'排出係数表'!$A$4:$C$202,3,FALSE)</f>
        <v>#N/A</v>
      </c>
      <c r="BC261" s="120" t="e">
        <f aca="true" t="shared" si="172" ref="BC261:BC304">LOOKUP(J261,燃料,$N$317:$N$333)</f>
        <v>#N/A</v>
      </c>
      <c r="BD261" s="120">
        <f t="shared" si="148"/>
        <v>1</v>
      </c>
      <c r="BE261" s="122">
        <f aca="true" t="shared" si="173" ref="BE261:BE304">IF(OR(AL261="",AL261=0),"",C261&amp;LEFT(F261,1)&amp;AT261)</f>
      </c>
      <c r="BF261" s="123" t="e">
        <f t="shared" si="158"/>
        <v>#VALUE!</v>
      </c>
      <c r="BG261" s="122">
        <f t="shared" si="149"/>
      </c>
      <c r="BH261" s="120" t="e">
        <f t="shared" si="150"/>
        <v>#VALUE!</v>
      </c>
      <c r="BI261" s="120" t="e">
        <f t="shared" si="151"/>
        <v>#VALUE!</v>
      </c>
      <c r="BJ261" s="122" t="e">
        <f>VLOOKUP(AY261,'排出係数表'!$A$4:$D$202,4)</f>
        <v>#N/A</v>
      </c>
      <c r="BK261" s="257">
        <f t="shared" si="157"/>
      </c>
    </row>
    <row r="262" spans="1:63" s="124" customFormat="1" ht="13.5" customHeight="1">
      <c r="A262" s="120"/>
      <c r="B262" s="120"/>
      <c r="C262" s="155"/>
      <c r="D262" s="155"/>
      <c r="E262" s="155"/>
      <c r="F262" s="155"/>
      <c r="G262" s="156"/>
      <c r="H262" s="157"/>
      <c r="I262" s="155"/>
      <c r="J262" s="155"/>
      <c r="K262" s="158"/>
      <c r="L262" s="159"/>
      <c r="M262" s="244"/>
      <c r="N262" s="155"/>
      <c r="O262" s="345">
        <f aca="true" t="shared" si="174" ref="O262:O304">IF(ISBLANK(J262)=TRUE,"",IF(OR(AW262="メ",M262="有"),"要確認",IF(ISNUMBER(AZ262*BA262)=TRUE,AZ262*BA262,"要確認")))</f>
      </c>
      <c r="P262" s="345">
        <f t="shared" si="160"/>
      </c>
      <c r="Q262" s="508"/>
      <c r="R262" s="346"/>
      <c r="S262" s="347"/>
      <c r="T262" s="348"/>
      <c r="U262" s="347"/>
      <c r="V262" s="348"/>
      <c r="W262" s="347"/>
      <c r="X262" s="348"/>
      <c r="Y262" s="347"/>
      <c r="Z262" s="348"/>
      <c r="AA262" s="340" t="e">
        <f t="shared" si="161"/>
        <v>#N/A</v>
      </c>
      <c r="AB262" s="339">
        <f aca="true" t="shared" si="175" ref="AB262:AB304">IF(OR(AK262="",AK262=0),"",O262)</f>
      </c>
      <c r="AC262" s="339">
        <f aca="true" t="shared" si="176" ref="AC262:AC304">IF(P262="要確認",P262,IF(OR(AK262="",AK262=0),"",P262*BD262))</f>
      </c>
      <c r="AD262" s="255">
        <f aca="true" t="shared" si="177" ref="AD262:AD304">IF(AND(AK262=1,AJ262&lt;&gt;1),IF(AH262=14,R262,(IF(AH262=15,U262-S262,(IF(AH262=16,W262-U262,IF(AH262=17,Y262-W262,"")))))),"")</f>
      </c>
      <c r="AE262" s="256">
        <f aca="true" t="shared" si="178" ref="AE262:AE304">IF(O262="要確認","",IF(OR(AK262="",AK262=0,AJ262=1),"",O262*AS262*AD262/1000))</f>
      </c>
      <c r="AF262" s="256">
        <f aca="true" t="shared" si="179" ref="AF262:AF304">IF(P262="要確認","",IF(OR(AK262="",AK262=0,AJ262=1),"",P262*BD262*AS262*AD262/1000))</f>
      </c>
      <c r="AG262" s="255">
        <f aca="true" t="shared" si="180" ref="AG262:AG304">IF(J262="","",IF(OR(T262="新規",T262="新規廃止"),14,IF(OR(V262="新規",V262="新規廃止"),15,IF(OR(X262="新規",X262="新規廃止"),16,IF(OR(Z262="新規",Z262="新規廃止"),17,13)))))</f>
      </c>
      <c r="AH262" s="255">
        <f t="shared" si="162"/>
      </c>
      <c r="AI262" s="255">
        <f aca="true" t="shared" si="181" ref="AI262:AI304">IF(J262="","",IF(OR(T262="廃止",T262="新規廃止"),14,IF(OR(V262="廃止",V262="新規廃止"),15,IF(OR(X262="廃止",X262="新規廃止"),16,IF(OR(Z262="廃止",Z262="新規廃止"),17,18)))))</f>
      </c>
      <c r="AJ262" s="255">
        <f aca="true" t="shared" si="182" ref="AJ262:AJ304">IF(OR(AND(AH262=14,AK262=1,OR(R262="",S262="")),AND(AH262=15,AK262=1,OR(U262="",S262&gt;U262)),AND(AH262=16,AK262=1,OR(W262="",U262&gt;W262)),AND(AH262=17,AK262=1,OR(Y262="",W262&gt;Y262))),1,"")</f>
      </c>
      <c r="AK262" s="255">
        <f t="shared" si="163"/>
      </c>
      <c r="AL262" s="255">
        <f t="shared" si="164"/>
      </c>
      <c r="AM262" s="120">
        <f ca="1" t="shared" si="155"/>
        <v>0</v>
      </c>
      <c r="AN262" s="120" t="e">
        <f t="shared" si="165"/>
        <v>#N/A</v>
      </c>
      <c r="AO262" s="120">
        <f>ROWS($AO$4:AO262)-1</f>
        <v>258</v>
      </c>
      <c r="AP262" s="255" t="e">
        <f t="shared" si="156"/>
        <v>#N/A</v>
      </c>
      <c r="AQ262" s="120" t="e">
        <f t="shared" si="166"/>
        <v>#N/A</v>
      </c>
      <c r="AR262" s="120" t="e">
        <f t="shared" si="159"/>
        <v>#N/A</v>
      </c>
      <c r="AS262" s="121">
        <f t="shared" si="152"/>
        <v>1</v>
      </c>
      <c r="AT262" s="120" t="str">
        <f t="shared" si="153"/>
        <v> </v>
      </c>
      <c r="AU262" s="120" t="str">
        <f t="shared" si="154"/>
        <v> </v>
      </c>
      <c r="AV262" s="120" t="e">
        <f t="shared" si="167"/>
        <v>#N/A</v>
      </c>
      <c r="AW262" s="120" t="e">
        <f t="shared" si="168"/>
        <v>#N/A</v>
      </c>
      <c r="AX262" s="120">
        <f t="shared" si="169"/>
      </c>
      <c r="AY262" s="120" t="e">
        <f t="shared" si="170"/>
        <v>#N/A</v>
      </c>
      <c r="AZ262" s="120" t="e">
        <f>VLOOKUP(AY262,'排出係数表'!$A$4:$C$202,2,FALSE)</f>
        <v>#N/A</v>
      </c>
      <c r="BA262" s="120" t="e">
        <f t="shared" si="171"/>
        <v>#N/A</v>
      </c>
      <c r="BB262" s="120" t="e">
        <f>VLOOKUP(AY262,'排出係数表'!$A$4:$C$202,3,FALSE)</f>
        <v>#N/A</v>
      </c>
      <c r="BC262" s="120" t="e">
        <f t="shared" si="172"/>
        <v>#N/A</v>
      </c>
      <c r="BD262" s="120">
        <f aca="true" t="shared" si="183" ref="BD262:BD304">IF(ISBLANK(N262),1,IF(RIGHT(LEFT($F$1,4),2)&gt;=LEFT(N262,2),(IF(ISERROR(VLOOKUP(AX262,$H$307:$I$327,2,FALSE)),0.7,VLOOKUP(AX262,$H$307:$I$327,2,FALSE))),1))</f>
        <v>1</v>
      </c>
      <c r="BE262" s="122">
        <f t="shared" si="173"/>
      </c>
      <c r="BF262" s="123" t="e">
        <f t="shared" si="158"/>
        <v>#VALUE!</v>
      </c>
      <c r="BG262" s="122">
        <f t="shared" si="149"/>
      </c>
      <c r="BH262" s="120" t="e">
        <f t="shared" si="150"/>
        <v>#VALUE!</v>
      </c>
      <c r="BI262" s="120" t="e">
        <f t="shared" si="151"/>
        <v>#VALUE!</v>
      </c>
      <c r="BJ262" s="122" t="e">
        <f>VLOOKUP(AY262,'排出係数表'!$A$4:$D$202,4)</f>
        <v>#N/A</v>
      </c>
      <c r="BK262" s="257">
        <f t="shared" si="157"/>
      </c>
    </row>
    <row r="263" spans="1:63" s="124" customFormat="1" ht="13.5" customHeight="1">
      <c r="A263" s="120"/>
      <c r="B263" s="120"/>
      <c r="C263" s="155"/>
      <c r="D263" s="155"/>
      <c r="E263" s="155"/>
      <c r="F263" s="155"/>
      <c r="G263" s="156"/>
      <c r="H263" s="157"/>
      <c r="I263" s="155"/>
      <c r="J263" s="155"/>
      <c r="K263" s="158"/>
      <c r="L263" s="159"/>
      <c r="M263" s="244"/>
      <c r="N263" s="155"/>
      <c r="O263" s="345">
        <f t="shared" si="174"/>
      </c>
      <c r="P263" s="345">
        <f t="shared" si="160"/>
      </c>
      <c r="Q263" s="508"/>
      <c r="R263" s="346"/>
      <c r="S263" s="347"/>
      <c r="T263" s="348"/>
      <c r="U263" s="347"/>
      <c r="V263" s="348"/>
      <c r="W263" s="347"/>
      <c r="X263" s="348"/>
      <c r="Y263" s="347"/>
      <c r="Z263" s="348"/>
      <c r="AA263" s="340" t="e">
        <f t="shared" si="161"/>
        <v>#N/A</v>
      </c>
      <c r="AB263" s="339">
        <f t="shared" si="175"/>
      </c>
      <c r="AC263" s="339">
        <f t="shared" si="176"/>
      </c>
      <c r="AD263" s="255">
        <f t="shared" si="177"/>
      </c>
      <c r="AE263" s="256">
        <f t="shared" si="178"/>
      </c>
      <c r="AF263" s="256">
        <f t="shared" si="179"/>
      </c>
      <c r="AG263" s="255">
        <f t="shared" si="180"/>
      </c>
      <c r="AH263" s="255">
        <f t="shared" si="162"/>
      </c>
      <c r="AI263" s="255">
        <f t="shared" si="181"/>
      </c>
      <c r="AJ263" s="255">
        <f t="shared" si="182"/>
      </c>
      <c r="AK263" s="255">
        <f t="shared" si="163"/>
      </c>
      <c r="AL263" s="255">
        <f t="shared" si="164"/>
      </c>
      <c r="AM263" s="120">
        <f ca="1" t="shared" si="155"/>
        <v>0</v>
      </c>
      <c r="AN263" s="120" t="e">
        <f t="shared" si="165"/>
        <v>#N/A</v>
      </c>
      <c r="AO263" s="120">
        <f>ROWS($AO$4:AO263)-1</f>
        <v>259</v>
      </c>
      <c r="AP263" s="255" t="e">
        <f t="shared" si="156"/>
        <v>#N/A</v>
      </c>
      <c r="AQ263" s="120" t="e">
        <f t="shared" si="166"/>
        <v>#N/A</v>
      </c>
      <c r="AR263" s="120" t="e">
        <f t="shared" si="159"/>
        <v>#N/A</v>
      </c>
      <c r="AS263" s="121">
        <f t="shared" si="152"/>
        <v>1</v>
      </c>
      <c r="AT263" s="120" t="str">
        <f t="shared" si="153"/>
        <v> </v>
      </c>
      <c r="AU263" s="120" t="str">
        <f t="shared" si="154"/>
        <v> </v>
      </c>
      <c r="AV263" s="120" t="e">
        <f t="shared" si="167"/>
        <v>#N/A</v>
      </c>
      <c r="AW263" s="120" t="e">
        <f t="shared" si="168"/>
        <v>#N/A</v>
      </c>
      <c r="AX263" s="120">
        <f t="shared" si="169"/>
      </c>
      <c r="AY263" s="120" t="e">
        <f t="shared" si="170"/>
        <v>#N/A</v>
      </c>
      <c r="AZ263" s="120" t="e">
        <f>VLOOKUP(AY263,'排出係数表'!$A$4:$C$202,2,FALSE)</f>
        <v>#N/A</v>
      </c>
      <c r="BA263" s="120" t="e">
        <f t="shared" si="171"/>
        <v>#N/A</v>
      </c>
      <c r="BB263" s="120" t="e">
        <f>VLOOKUP(AY263,'排出係数表'!$A$4:$C$202,3,FALSE)</f>
        <v>#N/A</v>
      </c>
      <c r="BC263" s="120" t="e">
        <f t="shared" si="172"/>
        <v>#N/A</v>
      </c>
      <c r="BD263" s="120">
        <f t="shared" si="183"/>
        <v>1</v>
      </c>
      <c r="BE263" s="122">
        <f t="shared" si="173"/>
      </c>
      <c r="BF263" s="123" t="e">
        <f t="shared" si="158"/>
        <v>#VALUE!</v>
      </c>
      <c r="BG263" s="122">
        <f t="shared" si="149"/>
      </c>
      <c r="BH263" s="120" t="e">
        <f t="shared" si="150"/>
        <v>#VALUE!</v>
      </c>
      <c r="BI263" s="120" t="e">
        <f t="shared" si="151"/>
        <v>#VALUE!</v>
      </c>
      <c r="BJ263" s="122" t="e">
        <f>VLOOKUP(AY263,'排出係数表'!$A$4:$D$202,4)</f>
        <v>#N/A</v>
      </c>
      <c r="BK263" s="257">
        <f t="shared" si="157"/>
      </c>
    </row>
    <row r="264" spans="1:63" s="124" customFormat="1" ht="13.5" customHeight="1">
      <c r="A264" s="120"/>
      <c r="B264" s="120"/>
      <c r="C264" s="155"/>
      <c r="D264" s="155"/>
      <c r="E264" s="155"/>
      <c r="F264" s="155"/>
      <c r="G264" s="156"/>
      <c r="H264" s="157"/>
      <c r="I264" s="155"/>
      <c r="J264" s="155"/>
      <c r="K264" s="158"/>
      <c r="L264" s="159"/>
      <c r="M264" s="244"/>
      <c r="N264" s="155"/>
      <c r="O264" s="345">
        <f t="shared" si="174"/>
      </c>
      <c r="P264" s="345">
        <f t="shared" si="160"/>
      </c>
      <c r="Q264" s="508"/>
      <c r="R264" s="346"/>
      <c r="S264" s="347"/>
      <c r="T264" s="348"/>
      <c r="U264" s="347"/>
      <c r="V264" s="348"/>
      <c r="W264" s="347"/>
      <c r="X264" s="348"/>
      <c r="Y264" s="347"/>
      <c r="Z264" s="348"/>
      <c r="AA264" s="340" t="e">
        <f t="shared" si="161"/>
        <v>#N/A</v>
      </c>
      <c r="AB264" s="339">
        <f t="shared" si="175"/>
      </c>
      <c r="AC264" s="339">
        <f t="shared" si="176"/>
      </c>
      <c r="AD264" s="255">
        <f t="shared" si="177"/>
      </c>
      <c r="AE264" s="256">
        <f t="shared" si="178"/>
      </c>
      <c r="AF264" s="256">
        <f t="shared" si="179"/>
      </c>
      <c r="AG264" s="255">
        <f t="shared" si="180"/>
      </c>
      <c r="AH264" s="255">
        <f t="shared" si="162"/>
      </c>
      <c r="AI264" s="255">
        <f t="shared" si="181"/>
      </c>
      <c r="AJ264" s="255">
        <f t="shared" si="182"/>
      </c>
      <c r="AK264" s="255">
        <f t="shared" si="163"/>
      </c>
      <c r="AL264" s="255">
        <f t="shared" si="164"/>
      </c>
      <c r="AM264" s="120">
        <f ca="1" t="shared" si="155"/>
        <v>0</v>
      </c>
      <c r="AN264" s="120" t="e">
        <f t="shared" si="165"/>
        <v>#N/A</v>
      </c>
      <c r="AO264" s="120">
        <f>ROWS($AO$4:AO264)-1</f>
        <v>260</v>
      </c>
      <c r="AP264" s="255" t="e">
        <f t="shared" si="156"/>
        <v>#N/A</v>
      </c>
      <c r="AQ264" s="120" t="e">
        <f t="shared" si="166"/>
        <v>#N/A</v>
      </c>
      <c r="AR264" s="120" t="e">
        <f t="shared" si="159"/>
        <v>#N/A</v>
      </c>
      <c r="AS264" s="121">
        <f t="shared" si="152"/>
        <v>1</v>
      </c>
      <c r="AT264" s="120" t="str">
        <f t="shared" si="153"/>
        <v> </v>
      </c>
      <c r="AU264" s="120" t="str">
        <f t="shared" si="154"/>
        <v> </v>
      </c>
      <c r="AV264" s="120" t="e">
        <f t="shared" si="167"/>
        <v>#N/A</v>
      </c>
      <c r="AW264" s="120" t="e">
        <f t="shared" si="168"/>
        <v>#N/A</v>
      </c>
      <c r="AX264" s="120">
        <f t="shared" si="169"/>
      </c>
      <c r="AY264" s="120" t="e">
        <f t="shared" si="170"/>
        <v>#N/A</v>
      </c>
      <c r="AZ264" s="120" t="e">
        <f>VLOOKUP(AY264,'排出係数表'!$A$4:$C$202,2,FALSE)</f>
        <v>#N/A</v>
      </c>
      <c r="BA264" s="120" t="e">
        <f t="shared" si="171"/>
        <v>#N/A</v>
      </c>
      <c r="BB264" s="120" t="e">
        <f>VLOOKUP(AY264,'排出係数表'!$A$4:$C$202,3,FALSE)</f>
        <v>#N/A</v>
      </c>
      <c r="BC264" s="120" t="e">
        <f t="shared" si="172"/>
        <v>#N/A</v>
      </c>
      <c r="BD264" s="120">
        <f t="shared" si="183"/>
        <v>1</v>
      </c>
      <c r="BE264" s="122">
        <f t="shared" si="173"/>
      </c>
      <c r="BF264" s="123" t="e">
        <f t="shared" si="158"/>
        <v>#VALUE!</v>
      </c>
      <c r="BG264" s="122">
        <f t="shared" si="149"/>
      </c>
      <c r="BH264" s="120" t="e">
        <f t="shared" si="150"/>
        <v>#VALUE!</v>
      </c>
      <c r="BI264" s="120" t="e">
        <f t="shared" si="151"/>
        <v>#VALUE!</v>
      </c>
      <c r="BJ264" s="122" t="e">
        <f>VLOOKUP(AY264,'排出係数表'!$A$4:$D$202,4)</f>
        <v>#N/A</v>
      </c>
      <c r="BK264" s="257">
        <f t="shared" si="157"/>
      </c>
    </row>
    <row r="265" spans="1:63" s="124" customFormat="1" ht="13.5" customHeight="1">
      <c r="A265" s="120"/>
      <c r="B265" s="120"/>
      <c r="C265" s="155"/>
      <c r="D265" s="155"/>
      <c r="E265" s="155"/>
      <c r="F265" s="155"/>
      <c r="G265" s="156"/>
      <c r="H265" s="157"/>
      <c r="I265" s="155"/>
      <c r="J265" s="155"/>
      <c r="K265" s="158"/>
      <c r="L265" s="159"/>
      <c r="M265" s="244"/>
      <c r="N265" s="155"/>
      <c r="O265" s="345">
        <f t="shared" si="174"/>
      </c>
      <c r="P265" s="345">
        <f t="shared" si="160"/>
      </c>
      <c r="Q265" s="508"/>
      <c r="R265" s="346"/>
      <c r="S265" s="347"/>
      <c r="T265" s="348"/>
      <c r="U265" s="347"/>
      <c r="V265" s="348"/>
      <c r="W265" s="347"/>
      <c r="X265" s="348"/>
      <c r="Y265" s="347"/>
      <c r="Z265" s="348"/>
      <c r="AA265" s="340" t="e">
        <f t="shared" si="161"/>
        <v>#N/A</v>
      </c>
      <c r="AB265" s="339">
        <f t="shared" si="175"/>
      </c>
      <c r="AC265" s="339">
        <f t="shared" si="176"/>
      </c>
      <c r="AD265" s="255">
        <f t="shared" si="177"/>
      </c>
      <c r="AE265" s="256">
        <f t="shared" si="178"/>
      </c>
      <c r="AF265" s="256">
        <f t="shared" si="179"/>
      </c>
      <c r="AG265" s="255">
        <f t="shared" si="180"/>
      </c>
      <c r="AH265" s="255">
        <f t="shared" si="162"/>
      </c>
      <c r="AI265" s="255">
        <f t="shared" si="181"/>
      </c>
      <c r="AJ265" s="255">
        <f t="shared" si="182"/>
      </c>
      <c r="AK265" s="255">
        <f t="shared" si="163"/>
      </c>
      <c r="AL265" s="255">
        <f t="shared" si="164"/>
      </c>
      <c r="AM265" s="120">
        <f ca="1" t="shared" si="155"/>
        <v>0</v>
      </c>
      <c r="AN265" s="120" t="e">
        <f t="shared" si="165"/>
        <v>#N/A</v>
      </c>
      <c r="AO265" s="120">
        <f>ROWS($AO$4:AO265)-1</f>
        <v>261</v>
      </c>
      <c r="AP265" s="255" t="e">
        <f t="shared" si="156"/>
        <v>#N/A</v>
      </c>
      <c r="AQ265" s="120" t="e">
        <f t="shared" si="166"/>
        <v>#N/A</v>
      </c>
      <c r="AR265" s="120" t="e">
        <f t="shared" si="159"/>
        <v>#N/A</v>
      </c>
      <c r="AS265" s="121">
        <f t="shared" si="152"/>
        <v>1</v>
      </c>
      <c r="AT265" s="120" t="str">
        <f t="shared" si="153"/>
        <v> </v>
      </c>
      <c r="AU265" s="120" t="str">
        <f t="shared" si="154"/>
        <v> </v>
      </c>
      <c r="AV265" s="120" t="e">
        <f t="shared" si="167"/>
        <v>#N/A</v>
      </c>
      <c r="AW265" s="120" t="e">
        <f t="shared" si="168"/>
        <v>#N/A</v>
      </c>
      <c r="AX265" s="120">
        <f t="shared" si="169"/>
      </c>
      <c r="AY265" s="120" t="e">
        <f t="shared" si="170"/>
        <v>#N/A</v>
      </c>
      <c r="AZ265" s="120" t="e">
        <f>VLOOKUP(AY265,'排出係数表'!$A$4:$C$202,2,FALSE)</f>
        <v>#N/A</v>
      </c>
      <c r="BA265" s="120" t="e">
        <f t="shared" si="171"/>
        <v>#N/A</v>
      </c>
      <c r="BB265" s="120" t="e">
        <f>VLOOKUP(AY265,'排出係数表'!$A$4:$C$202,3,FALSE)</f>
        <v>#N/A</v>
      </c>
      <c r="BC265" s="120" t="e">
        <f t="shared" si="172"/>
        <v>#N/A</v>
      </c>
      <c r="BD265" s="120">
        <f t="shared" si="183"/>
        <v>1</v>
      </c>
      <c r="BE265" s="122">
        <f t="shared" si="173"/>
      </c>
      <c r="BF265" s="123" t="e">
        <f t="shared" si="158"/>
        <v>#VALUE!</v>
      </c>
      <c r="BG265" s="122">
        <f t="shared" si="149"/>
      </c>
      <c r="BH265" s="120" t="e">
        <f t="shared" si="150"/>
        <v>#VALUE!</v>
      </c>
      <c r="BI265" s="120" t="e">
        <f t="shared" si="151"/>
        <v>#VALUE!</v>
      </c>
      <c r="BJ265" s="122" t="e">
        <f>VLOOKUP(AY265,'排出係数表'!$A$4:$D$202,4)</f>
        <v>#N/A</v>
      </c>
      <c r="BK265" s="257">
        <f t="shared" si="157"/>
      </c>
    </row>
    <row r="266" spans="1:63" s="124" customFormat="1" ht="13.5" customHeight="1">
      <c r="A266" s="120"/>
      <c r="B266" s="120"/>
      <c r="C266" s="155"/>
      <c r="D266" s="155"/>
      <c r="E266" s="155"/>
      <c r="F266" s="155"/>
      <c r="G266" s="156"/>
      <c r="H266" s="157"/>
      <c r="I266" s="155"/>
      <c r="J266" s="155"/>
      <c r="K266" s="158"/>
      <c r="L266" s="159"/>
      <c r="M266" s="244"/>
      <c r="N266" s="155"/>
      <c r="O266" s="345">
        <f t="shared" si="174"/>
      </c>
      <c r="P266" s="345">
        <f t="shared" si="160"/>
      </c>
      <c r="Q266" s="508"/>
      <c r="R266" s="346"/>
      <c r="S266" s="347"/>
      <c r="T266" s="348"/>
      <c r="U266" s="347"/>
      <c r="V266" s="348"/>
      <c r="W266" s="347"/>
      <c r="X266" s="348"/>
      <c r="Y266" s="347"/>
      <c r="Z266" s="348"/>
      <c r="AA266" s="340" t="e">
        <f t="shared" si="161"/>
        <v>#N/A</v>
      </c>
      <c r="AB266" s="339">
        <f t="shared" si="175"/>
      </c>
      <c r="AC266" s="339">
        <f t="shared" si="176"/>
      </c>
      <c r="AD266" s="255">
        <f t="shared" si="177"/>
      </c>
      <c r="AE266" s="256">
        <f t="shared" si="178"/>
      </c>
      <c r="AF266" s="256">
        <f t="shared" si="179"/>
      </c>
      <c r="AG266" s="255">
        <f t="shared" si="180"/>
      </c>
      <c r="AH266" s="255">
        <f t="shared" si="162"/>
      </c>
      <c r="AI266" s="255">
        <f t="shared" si="181"/>
      </c>
      <c r="AJ266" s="255">
        <f t="shared" si="182"/>
      </c>
      <c r="AK266" s="255">
        <f t="shared" si="163"/>
      </c>
      <c r="AL266" s="255">
        <f t="shared" si="164"/>
      </c>
      <c r="AM266" s="120">
        <f ca="1" t="shared" si="155"/>
        <v>0</v>
      </c>
      <c r="AN266" s="120" t="e">
        <f t="shared" si="165"/>
        <v>#N/A</v>
      </c>
      <c r="AO266" s="120">
        <f>ROWS($AO$4:AO266)-1</f>
        <v>262</v>
      </c>
      <c r="AP266" s="255" t="e">
        <f t="shared" si="156"/>
        <v>#N/A</v>
      </c>
      <c r="AQ266" s="120" t="e">
        <f t="shared" si="166"/>
        <v>#N/A</v>
      </c>
      <c r="AR266" s="120" t="e">
        <f t="shared" si="159"/>
        <v>#N/A</v>
      </c>
      <c r="AS266" s="121">
        <f t="shared" si="152"/>
        <v>1</v>
      </c>
      <c r="AT266" s="120" t="str">
        <f t="shared" si="153"/>
        <v> </v>
      </c>
      <c r="AU266" s="120" t="str">
        <f t="shared" si="154"/>
        <v> </v>
      </c>
      <c r="AV266" s="120" t="e">
        <f t="shared" si="167"/>
        <v>#N/A</v>
      </c>
      <c r="AW266" s="120" t="e">
        <f t="shared" si="168"/>
        <v>#N/A</v>
      </c>
      <c r="AX266" s="120">
        <f t="shared" si="169"/>
      </c>
      <c r="AY266" s="120" t="e">
        <f t="shared" si="170"/>
        <v>#N/A</v>
      </c>
      <c r="AZ266" s="120" t="e">
        <f>VLOOKUP(AY266,'排出係数表'!$A$4:$C$202,2,FALSE)</f>
        <v>#N/A</v>
      </c>
      <c r="BA266" s="120" t="e">
        <f t="shared" si="171"/>
        <v>#N/A</v>
      </c>
      <c r="BB266" s="120" t="e">
        <f>VLOOKUP(AY266,'排出係数表'!$A$4:$C$202,3,FALSE)</f>
        <v>#N/A</v>
      </c>
      <c r="BC266" s="120" t="e">
        <f t="shared" si="172"/>
        <v>#N/A</v>
      </c>
      <c r="BD266" s="120">
        <f t="shared" si="183"/>
        <v>1</v>
      </c>
      <c r="BE266" s="122">
        <f t="shared" si="173"/>
      </c>
      <c r="BF266" s="123" t="e">
        <f t="shared" si="158"/>
        <v>#VALUE!</v>
      </c>
      <c r="BG266" s="122">
        <f t="shared" si="149"/>
      </c>
      <c r="BH266" s="120" t="e">
        <f t="shared" si="150"/>
        <v>#VALUE!</v>
      </c>
      <c r="BI266" s="120" t="e">
        <f t="shared" si="151"/>
        <v>#VALUE!</v>
      </c>
      <c r="BJ266" s="122" t="e">
        <f>VLOOKUP(AY266,'排出係数表'!$A$4:$D$202,4)</f>
        <v>#N/A</v>
      </c>
      <c r="BK266" s="257">
        <f t="shared" si="157"/>
      </c>
    </row>
    <row r="267" spans="1:63" s="124" customFormat="1" ht="13.5" customHeight="1">
      <c r="A267" s="120"/>
      <c r="B267" s="120"/>
      <c r="C267" s="155"/>
      <c r="D267" s="155"/>
      <c r="E267" s="155"/>
      <c r="F267" s="155"/>
      <c r="G267" s="156"/>
      <c r="H267" s="157"/>
      <c r="I267" s="155"/>
      <c r="J267" s="155"/>
      <c r="K267" s="158"/>
      <c r="L267" s="159"/>
      <c r="M267" s="244"/>
      <c r="N267" s="155"/>
      <c r="O267" s="345">
        <f t="shared" si="174"/>
      </c>
      <c r="P267" s="345">
        <f t="shared" si="160"/>
      </c>
      <c r="Q267" s="508"/>
      <c r="R267" s="346"/>
      <c r="S267" s="347"/>
      <c r="T267" s="348"/>
      <c r="U267" s="347"/>
      <c r="V267" s="348"/>
      <c r="W267" s="347"/>
      <c r="X267" s="348"/>
      <c r="Y267" s="347"/>
      <c r="Z267" s="348"/>
      <c r="AA267" s="340" t="e">
        <f t="shared" si="161"/>
        <v>#N/A</v>
      </c>
      <c r="AB267" s="339">
        <f t="shared" si="175"/>
      </c>
      <c r="AC267" s="339">
        <f t="shared" si="176"/>
      </c>
      <c r="AD267" s="255">
        <f t="shared" si="177"/>
      </c>
      <c r="AE267" s="256">
        <f t="shared" si="178"/>
      </c>
      <c r="AF267" s="256">
        <f t="shared" si="179"/>
      </c>
      <c r="AG267" s="255">
        <f t="shared" si="180"/>
      </c>
      <c r="AH267" s="255">
        <f t="shared" si="162"/>
      </c>
      <c r="AI267" s="255">
        <f t="shared" si="181"/>
      </c>
      <c r="AJ267" s="255">
        <f t="shared" si="182"/>
      </c>
      <c r="AK267" s="255">
        <f t="shared" si="163"/>
      </c>
      <c r="AL267" s="255">
        <f t="shared" si="164"/>
      </c>
      <c r="AM267" s="120">
        <f ca="1" t="shared" si="155"/>
        <v>0</v>
      </c>
      <c r="AN267" s="120" t="e">
        <f t="shared" si="165"/>
        <v>#N/A</v>
      </c>
      <c r="AO267" s="120">
        <f>ROWS($AO$4:AO267)-1</f>
        <v>263</v>
      </c>
      <c r="AP267" s="255" t="e">
        <f t="shared" si="156"/>
        <v>#N/A</v>
      </c>
      <c r="AQ267" s="120" t="e">
        <f t="shared" si="166"/>
        <v>#N/A</v>
      </c>
      <c r="AR267" s="120" t="e">
        <f t="shared" si="159"/>
        <v>#N/A</v>
      </c>
      <c r="AS267" s="121">
        <f t="shared" si="152"/>
        <v>1</v>
      </c>
      <c r="AT267" s="120" t="str">
        <f t="shared" si="153"/>
        <v> </v>
      </c>
      <c r="AU267" s="120" t="str">
        <f t="shared" si="154"/>
        <v> </v>
      </c>
      <c r="AV267" s="120" t="e">
        <f t="shared" si="167"/>
        <v>#N/A</v>
      </c>
      <c r="AW267" s="120" t="e">
        <f t="shared" si="168"/>
        <v>#N/A</v>
      </c>
      <c r="AX267" s="120">
        <f t="shared" si="169"/>
      </c>
      <c r="AY267" s="120" t="e">
        <f t="shared" si="170"/>
        <v>#N/A</v>
      </c>
      <c r="AZ267" s="120" t="e">
        <f>VLOOKUP(AY267,'排出係数表'!$A$4:$C$202,2,FALSE)</f>
        <v>#N/A</v>
      </c>
      <c r="BA267" s="120" t="e">
        <f t="shared" si="171"/>
        <v>#N/A</v>
      </c>
      <c r="BB267" s="120" t="e">
        <f>VLOOKUP(AY267,'排出係数表'!$A$4:$C$202,3,FALSE)</f>
        <v>#N/A</v>
      </c>
      <c r="BC267" s="120" t="e">
        <f t="shared" si="172"/>
        <v>#N/A</v>
      </c>
      <c r="BD267" s="120">
        <f t="shared" si="183"/>
        <v>1</v>
      </c>
      <c r="BE267" s="122">
        <f t="shared" si="173"/>
      </c>
      <c r="BF267" s="123" t="e">
        <f t="shared" si="158"/>
        <v>#VALUE!</v>
      </c>
      <c r="BG267" s="122">
        <f t="shared" si="149"/>
      </c>
      <c r="BH267" s="120" t="e">
        <f t="shared" si="150"/>
        <v>#VALUE!</v>
      </c>
      <c r="BI267" s="120" t="e">
        <f t="shared" si="151"/>
        <v>#VALUE!</v>
      </c>
      <c r="BJ267" s="122" t="e">
        <f>VLOOKUP(AY267,'排出係数表'!$A$4:$D$202,4)</f>
        <v>#N/A</v>
      </c>
      <c r="BK267" s="257">
        <f t="shared" si="157"/>
      </c>
    </row>
    <row r="268" spans="1:63" s="124" customFormat="1" ht="13.5" customHeight="1">
      <c r="A268" s="120"/>
      <c r="B268" s="120"/>
      <c r="C268" s="155"/>
      <c r="D268" s="155"/>
      <c r="E268" s="155"/>
      <c r="F268" s="155"/>
      <c r="G268" s="156"/>
      <c r="H268" s="157"/>
      <c r="I268" s="155"/>
      <c r="J268" s="155"/>
      <c r="K268" s="158"/>
      <c r="L268" s="159"/>
      <c r="M268" s="244"/>
      <c r="N268" s="155"/>
      <c r="O268" s="345">
        <f t="shared" si="174"/>
      </c>
      <c r="P268" s="345">
        <f t="shared" si="160"/>
      </c>
      <c r="Q268" s="508"/>
      <c r="R268" s="346"/>
      <c r="S268" s="347"/>
      <c r="T268" s="348"/>
      <c r="U268" s="347"/>
      <c r="V268" s="348"/>
      <c r="W268" s="347"/>
      <c r="X268" s="348"/>
      <c r="Y268" s="347"/>
      <c r="Z268" s="348"/>
      <c r="AA268" s="340" t="e">
        <f t="shared" si="161"/>
        <v>#N/A</v>
      </c>
      <c r="AB268" s="339">
        <f t="shared" si="175"/>
      </c>
      <c r="AC268" s="339">
        <f t="shared" si="176"/>
      </c>
      <c r="AD268" s="255">
        <f t="shared" si="177"/>
      </c>
      <c r="AE268" s="256">
        <f t="shared" si="178"/>
      </c>
      <c r="AF268" s="256">
        <f t="shared" si="179"/>
      </c>
      <c r="AG268" s="255">
        <f t="shared" si="180"/>
      </c>
      <c r="AH268" s="255">
        <f t="shared" si="162"/>
      </c>
      <c r="AI268" s="255">
        <f t="shared" si="181"/>
      </c>
      <c r="AJ268" s="255">
        <f t="shared" si="182"/>
      </c>
      <c r="AK268" s="255">
        <f t="shared" si="163"/>
      </c>
      <c r="AL268" s="255">
        <f t="shared" si="164"/>
      </c>
      <c r="AM268" s="120">
        <f ca="1" t="shared" si="155"/>
        <v>0</v>
      </c>
      <c r="AN268" s="120" t="e">
        <f t="shared" si="165"/>
        <v>#N/A</v>
      </c>
      <c r="AO268" s="120">
        <f>ROWS($AO$4:AO268)-1</f>
        <v>264</v>
      </c>
      <c r="AP268" s="255" t="e">
        <f t="shared" si="156"/>
        <v>#N/A</v>
      </c>
      <c r="AQ268" s="120" t="e">
        <f t="shared" si="166"/>
        <v>#N/A</v>
      </c>
      <c r="AR268" s="120" t="e">
        <f t="shared" si="159"/>
        <v>#N/A</v>
      </c>
      <c r="AS268" s="121">
        <f t="shared" si="152"/>
        <v>1</v>
      </c>
      <c r="AT268" s="120" t="str">
        <f t="shared" si="153"/>
        <v> </v>
      </c>
      <c r="AU268" s="120" t="str">
        <f t="shared" si="154"/>
        <v> </v>
      </c>
      <c r="AV268" s="120" t="e">
        <f t="shared" si="167"/>
        <v>#N/A</v>
      </c>
      <c r="AW268" s="120" t="e">
        <f t="shared" si="168"/>
        <v>#N/A</v>
      </c>
      <c r="AX268" s="120">
        <f t="shared" si="169"/>
      </c>
      <c r="AY268" s="120" t="e">
        <f t="shared" si="170"/>
        <v>#N/A</v>
      </c>
      <c r="AZ268" s="120" t="e">
        <f>VLOOKUP(AY268,'排出係数表'!$A$4:$C$202,2,FALSE)</f>
        <v>#N/A</v>
      </c>
      <c r="BA268" s="120" t="e">
        <f t="shared" si="171"/>
        <v>#N/A</v>
      </c>
      <c r="BB268" s="120" t="e">
        <f>VLOOKUP(AY268,'排出係数表'!$A$4:$C$202,3,FALSE)</f>
        <v>#N/A</v>
      </c>
      <c r="BC268" s="120" t="e">
        <f t="shared" si="172"/>
        <v>#N/A</v>
      </c>
      <c r="BD268" s="120">
        <f t="shared" si="183"/>
        <v>1</v>
      </c>
      <c r="BE268" s="122">
        <f t="shared" si="173"/>
      </c>
      <c r="BF268" s="123" t="e">
        <f t="shared" si="158"/>
        <v>#VALUE!</v>
      </c>
      <c r="BG268" s="122">
        <f t="shared" si="149"/>
      </c>
      <c r="BH268" s="120" t="e">
        <f t="shared" si="150"/>
        <v>#VALUE!</v>
      </c>
      <c r="BI268" s="120" t="e">
        <f t="shared" si="151"/>
        <v>#VALUE!</v>
      </c>
      <c r="BJ268" s="122" t="e">
        <f>VLOOKUP(AY268,'排出係数表'!$A$4:$D$202,4)</f>
        <v>#N/A</v>
      </c>
      <c r="BK268" s="257">
        <f t="shared" si="157"/>
      </c>
    </row>
    <row r="269" spans="1:63" s="124" customFormat="1" ht="13.5" customHeight="1">
      <c r="A269" s="120"/>
      <c r="B269" s="120"/>
      <c r="C269" s="155"/>
      <c r="D269" s="155"/>
      <c r="E269" s="155"/>
      <c r="F269" s="155"/>
      <c r="G269" s="156"/>
      <c r="H269" s="157"/>
      <c r="I269" s="155"/>
      <c r="J269" s="155"/>
      <c r="K269" s="158"/>
      <c r="L269" s="159"/>
      <c r="M269" s="244"/>
      <c r="N269" s="155"/>
      <c r="O269" s="345">
        <f t="shared" si="174"/>
      </c>
      <c r="P269" s="345">
        <f t="shared" si="160"/>
      </c>
      <c r="Q269" s="508"/>
      <c r="R269" s="346"/>
      <c r="S269" s="347"/>
      <c r="T269" s="348"/>
      <c r="U269" s="347"/>
      <c r="V269" s="348"/>
      <c r="W269" s="347"/>
      <c r="X269" s="348"/>
      <c r="Y269" s="347"/>
      <c r="Z269" s="348"/>
      <c r="AA269" s="340" t="e">
        <f t="shared" si="161"/>
        <v>#N/A</v>
      </c>
      <c r="AB269" s="339">
        <f t="shared" si="175"/>
      </c>
      <c r="AC269" s="339">
        <f t="shared" si="176"/>
      </c>
      <c r="AD269" s="255">
        <f t="shared" si="177"/>
      </c>
      <c r="AE269" s="256">
        <f t="shared" si="178"/>
      </c>
      <c r="AF269" s="256">
        <f t="shared" si="179"/>
      </c>
      <c r="AG269" s="255">
        <f t="shared" si="180"/>
      </c>
      <c r="AH269" s="255">
        <f t="shared" si="162"/>
      </c>
      <c r="AI269" s="255">
        <f t="shared" si="181"/>
      </c>
      <c r="AJ269" s="255">
        <f t="shared" si="182"/>
      </c>
      <c r="AK269" s="255">
        <f t="shared" si="163"/>
      </c>
      <c r="AL269" s="255">
        <f t="shared" si="164"/>
      </c>
      <c r="AM269" s="120">
        <f ca="1" t="shared" si="155"/>
        <v>0</v>
      </c>
      <c r="AN269" s="120" t="e">
        <f t="shared" si="165"/>
        <v>#N/A</v>
      </c>
      <c r="AO269" s="120">
        <f>ROWS($AO$4:AO269)-1</f>
        <v>265</v>
      </c>
      <c r="AP269" s="255" t="e">
        <f t="shared" si="156"/>
        <v>#N/A</v>
      </c>
      <c r="AQ269" s="120" t="e">
        <f t="shared" si="166"/>
        <v>#N/A</v>
      </c>
      <c r="AR269" s="120" t="e">
        <f t="shared" si="159"/>
        <v>#N/A</v>
      </c>
      <c r="AS269" s="121">
        <f t="shared" si="152"/>
        <v>1</v>
      </c>
      <c r="AT269" s="120" t="str">
        <f t="shared" si="153"/>
        <v> </v>
      </c>
      <c r="AU269" s="120" t="str">
        <f t="shared" si="154"/>
        <v> </v>
      </c>
      <c r="AV269" s="120" t="e">
        <f t="shared" si="167"/>
        <v>#N/A</v>
      </c>
      <c r="AW269" s="120" t="e">
        <f t="shared" si="168"/>
        <v>#N/A</v>
      </c>
      <c r="AX269" s="120">
        <f t="shared" si="169"/>
      </c>
      <c r="AY269" s="120" t="e">
        <f t="shared" si="170"/>
        <v>#N/A</v>
      </c>
      <c r="AZ269" s="120" t="e">
        <f>VLOOKUP(AY269,'排出係数表'!$A$4:$C$202,2,FALSE)</f>
        <v>#N/A</v>
      </c>
      <c r="BA269" s="120" t="e">
        <f t="shared" si="171"/>
        <v>#N/A</v>
      </c>
      <c r="BB269" s="120" t="e">
        <f>VLOOKUP(AY269,'排出係数表'!$A$4:$C$202,3,FALSE)</f>
        <v>#N/A</v>
      </c>
      <c r="BC269" s="120" t="e">
        <f t="shared" si="172"/>
        <v>#N/A</v>
      </c>
      <c r="BD269" s="120">
        <f t="shared" si="183"/>
        <v>1</v>
      </c>
      <c r="BE269" s="122">
        <f t="shared" si="173"/>
      </c>
      <c r="BF269" s="123" t="e">
        <f t="shared" si="158"/>
        <v>#VALUE!</v>
      </c>
      <c r="BG269" s="122">
        <f t="shared" si="149"/>
      </c>
      <c r="BH269" s="120" t="e">
        <f t="shared" si="150"/>
        <v>#VALUE!</v>
      </c>
      <c r="BI269" s="120" t="e">
        <f t="shared" si="151"/>
        <v>#VALUE!</v>
      </c>
      <c r="BJ269" s="122" t="e">
        <f>VLOOKUP(AY269,'排出係数表'!$A$4:$D$202,4)</f>
        <v>#N/A</v>
      </c>
      <c r="BK269" s="257">
        <f t="shared" si="157"/>
      </c>
    </row>
    <row r="270" spans="1:63" s="124" customFormat="1" ht="13.5" customHeight="1">
      <c r="A270" s="120"/>
      <c r="B270" s="120"/>
      <c r="C270" s="155"/>
      <c r="D270" s="155"/>
      <c r="E270" s="155"/>
      <c r="F270" s="155"/>
      <c r="G270" s="156"/>
      <c r="H270" s="157"/>
      <c r="I270" s="155"/>
      <c r="J270" s="155"/>
      <c r="K270" s="158"/>
      <c r="L270" s="159"/>
      <c r="M270" s="244"/>
      <c r="N270" s="155"/>
      <c r="O270" s="345">
        <f t="shared" si="174"/>
      </c>
      <c r="P270" s="345">
        <f t="shared" si="160"/>
      </c>
      <c r="Q270" s="508"/>
      <c r="R270" s="346"/>
      <c r="S270" s="347"/>
      <c r="T270" s="348"/>
      <c r="U270" s="347"/>
      <c r="V270" s="348"/>
      <c r="W270" s="347"/>
      <c r="X270" s="348"/>
      <c r="Y270" s="347"/>
      <c r="Z270" s="348"/>
      <c r="AA270" s="340" t="e">
        <f t="shared" si="161"/>
        <v>#N/A</v>
      </c>
      <c r="AB270" s="339">
        <f t="shared" si="175"/>
      </c>
      <c r="AC270" s="339">
        <f t="shared" si="176"/>
      </c>
      <c r="AD270" s="255">
        <f t="shared" si="177"/>
      </c>
      <c r="AE270" s="256">
        <f t="shared" si="178"/>
      </c>
      <c r="AF270" s="256">
        <f t="shared" si="179"/>
      </c>
      <c r="AG270" s="255">
        <f t="shared" si="180"/>
      </c>
      <c r="AH270" s="255">
        <f t="shared" si="162"/>
      </c>
      <c r="AI270" s="255">
        <f t="shared" si="181"/>
      </c>
      <c r="AJ270" s="255">
        <f t="shared" si="182"/>
      </c>
      <c r="AK270" s="255">
        <f t="shared" si="163"/>
      </c>
      <c r="AL270" s="255">
        <f t="shared" si="164"/>
      </c>
      <c r="AM270" s="120">
        <f ca="1" t="shared" si="155"/>
        <v>0</v>
      </c>
      <c r="AN270" s="120" t="e">
        <f t="shared" si="165"/>
        <v>#N/A</v>
      </c>
      <c r="AO270" s="120">
        <f>ROWS($AO$4:AO270)-1</f>
        <v>266</v>
      </c>
      <c r="AP270" s="255" t="e">
        <f>AN270-AO270</f>
        <v>#N/A</v>
      </c>
      <c r="AQ270" s="120" t="e">
        <f t="shared" si="166"/>
        <v>#N/A</v>
      </c>
      <c r="AR270" s="120" t="e">
        <f t="shared" si="159"/>
        <v>#N/A</v>
      </c>
      <c r="AS270" s="121">
        <f aca="true" t="shared" si="184" ref="AS270:AS298">IF(I270&gt;3500,I270/1000,1)</f>
        <v>1</v>
      </c>
      <c r="AT270" s="120" t="str">
        <f aca="true" t="shared" si="185" ref="AT270:AT298">IF(ISBLANK(F270)=TRUE," ",IF(LEFT(F270,1)="4",0,IF(I270&lt;=1700,1,IF(I270&lt;=2500,2,IF(I270&lt;=3500,3,4)))))</f>
        <v> </v>
      </c>
      <c r="AU270" s="120" t="str">
        <f aca="true" t="shared" si="186" ref="AU270:AU298">IF(ISBLANK(J270)=TRUE," ",IF(LEFT(F270,1)="1",IF(I270&lt;=3500,1,IF(I270&lt;=5000,2,3)),IF(LEFT(F270,1)="6",IF(I270&lt;=3500,1,IF(I270&lt;=5000,2,3)),"")))</f>
        <v> </v>
      </c>
      <c r="AV270" s="120" t="e">
        <f t="shared" si="167"/>
        <v>#N/A</v>
      </c>
      <c r="AW270" s="120" t="e">
        <f t="shared" si="168"/>
        <v>#N/A</v>
      </c>
      <c r="AX270" s="120">
        <f t="shared" si="169"/>
      </c>
      <c r="AY270" s="120" t="e">
        <f t="shared" si="170"/>
        <v>#N/A</v>
      </c>
      <c r="AZ270" s="120" t="e">
        <f>VLOOKUP(AY270,'排出係数表'!$A$4:$C$202,2,FALSE)</f>
        <v>#N/A</v>
      </c>
      <c r="BA270" s="120" t="e">
        <f t="shared" si="171"/>
        <v>#N/A</v>
      </c>
      <c r="BB270" s="120" t="e">
        <f>VLOOKUP(AY270,'排出係数表'!$A$4:$C$202,3,FALSE)</f>
        <v>#N/A</v>
      </c>
      <c r="BC270" s="120" t="e">
        <f t="shared" si="172"/>
        <v>#N/A</v>
      </c>
      <c r="BD270" s="120">
        <f t="shared" si="183"/>
        <v>1</v>
      </c>
      <c r="BE270" s="122">
        <f t="shared" si="173"/>
      </c>
      <c r="BF270" s="123" t="e">
        <f t="shared" si="158"/>
        <v>#VALUE!</v>
      </c>
      <c r="BG270" s="122">
        <f t="shared" si="149"/>
      </c>
      <c r="BH270" s="120" t="e">
        <f t="shared" si="150"/>
        <v>#VALUE!</v>
      </c>
      <c r="BI270" s="120" t="e">
        <f t="shared" si="151"/>
        <v>#VALUE!</v>
      </c>
      <c r="BJ270" s="122" t="e">
        <f>VLOOKUP(AY270,'排出係数表'!$A$4:$D$202,4)</f>
        <v>#N/A</v>
      </c>
      <c r="BK270" s="257">
        <f t="shared" si="157"/>
      </c>
    </row>
    <row r="271" spans="1:63" s="124" customFormat="1" ht="13.5" customHeight="1">
      <c r="A271" s="120"/>
      <c r="B271" s="120"/>
      <c r="C271" s="155"/>
      <c r="D271" s="155"/>
      <c r="E271" s="155"/>
      <c r="F271" s="155"/>
      <c r="G271" s="156"/>
      <c r="H271" s="157"/>
      <c r="I271" s="155"/>
      <c r="J271" s="155"/>
      <c r="K271" s="158"/>
      <c r="L271" s="159"/>
      <c r="M271" s="244"/>
      <c r="N271" s="155"/>
      <c r="O271" s="345">
        <f t="shared" si="174"/>
      </c>
      <c r="P271" s="345">
        <f t="shared" si="160"/>
      </c>
      <c r="Q271" s="508"/>
      <c r="R271" s="346"/>
      <c r="S271" s="347"/>
      <c r="T271" s="348"/>
      <c r="U271" s="347"/>
      <c r="V271" s="348"/>
      <c r="W271" s="347"/>
      <c r="X271" s="348"/>
      <c r="Y271" s="347"/>
      <c r="Z271" s="348"/>
      <c r="AA271" s="340" t="e">
        <f t="shared" si="161"/>
        <v>#N/A</v>
      </c>
      <c r="AB271" s="339">
        <f t="shared" si="175"/>
      </c>
      <c r="AC271" s="339">
        <f t="shared" si="176"/>
      </c>
      <c r="AD271" s="255">
        <f t="shared" si="177"/>
      </c>
      <c r="AE271" s="256">
        <f t="shared" si="178"/>
      </c>
      <c r="AF271" s="256">
        <f t="shared" si="179"/>
      </c>
      <c r="AG271" s="255">
        <f t="shared" si="180"/>
      </c>
      <c r="AH271" s="255">
        <f t="shared" si="162"/>
      </c>
      <c r="AI271" s="255">
        <f t="shared" si="181"/>
      </c>
      <c r="AJ271" s="255">
        <f t="shared" si="182"/>
      </c>
      <c r="AK271" s="255">
        <f t="shared" si="163"/>
      </c>
      <c r="AL271" s="255">
        <f t="shared" si="164"/>
      </c>
      <c r="AM271" s="120">
        <f aca="true" ca="1" t="shared" si="187" ref="AM271:AM298">COUNTIF(OFFSET($AK$5,,,AO271,1),1)</f>
        <v>0</v>
      </c>
      <c r="AN271" s="120" t="e">
        <f t="shared" si="165"/>
        <v>#N/A</v>
      </c>
      <c r="AO271" s="120">
        <f>ROWS($AO$4:AO271)-1</f>
        <v>267</v>
      </c>
      <c r="AP271" s="255" t="e">
        <f aca="true" t="shared" si="188" ref="AP271:AP298">AN271-AO271</f>
        <v>#N/A</v>
      </c>
      <c r="AQ271" s="120" t="e">
        <f t="shared" si="166"/>
        <v>#N/A</v>
      </c>
      <c r="AR271" s="120" t="e">
        <f t="shared" si="159"/>
        <v>#N/A</v>
      </c>
      <c r="AS271" s="121">
        <f t="shared" si="184"/>
        <v>1</v>
      </c>
      <c r="AT271" s="120" t="str">
        <f t="shared" si="185"/>
        <v> </v>
      </c>
      <c r="AU271" s="120" t="str">
        <f t="shared" si="186"/>
        <v> </v>
      </c>
      <c r="AV271" s="120" t="e">
        <f t="shared" si="167"/>
        <v>#N/A</v>
      </c>
      <c r="AW271" s="120" t="e">
        <f t="shared" si="168"/>
        <v>#N/A</v>
      </c>
      <c r="AX271" s="120">
        <f t="shared" si="169"/>
      </c>
      <c r="AY271" s="120" t="e">
        <f t="shared" si="170"/>
        <v>#N/A</v>
      </c>
      <c r="AZ271" s="120" t="e">
        <f>VLOOKUP(AY271,'排出係数表'!$A$4:$C$202,2,FALSE)</f>
        <v>#N/A</v>
      </c>
      <c r="BA271" s="120" t="e">
        <f t="shared" si="171"/>
        <v>#N/A</v>
      </c>
      <c r="BB271" s="120" t="e">
        <f>VLOOKUP(AY271,'排出係数表'!$A$4:$C$202,3,FALSE)</f>
        <v>#N/A</v>
      </c>
      <c r="BC271" s="120" t="e">
        <f t="shared" si="172"/>
        <v>#N/A</v>
      </c>
      <c r="BD271" s="120">
        <f t="shared" si="183"/>
        <v>1</v>
      </c>
      <c r="BE271" s="122">
        <f t="shared" si="173"/>
      </c>
      <c r="BF271" s="123" t="e">
        <f t="shared" si="158"/>
        <v>#VALUE!</v>
      </c>
      <c r="BG271" s="122">
        <f t="shared" si="149"/>
      </c>
      <c r="BH271" s="120" t="e">
        <f t="shared" si="150"/>
        <v>#VALUE!</v>
      </c>
      <c r="BI271" s="120" t="e">
        <f t="shared" si="151"/>
        <v>#VALUE!</v>
      </c>
      <c r="BJ271" s="122" t="e">
        <f>VLOOKUP(AY271,'排出係数表'!$A$4:$D$202,4)</f>
        <v>#N/A</v>
      </c>
      <c r="BK271" s="257">
        <f t="shared" si="157"/>
      </c>
    </row>
    <row r="272" spans="1:63" s="124" customFormat="1" ht="13.5" customHeight="1">
      <c r="A272" s="120"/>
      <c r="B272" s="120"/>
      <c r="C272" s="155"/>
      <c r="D272" s="155"/>
      <c r="E272" s="155"/>
      <c r="F272" s="155"/>
      <c r="G272" s="156"/>
      <c r="H272" s="157"/>
      <c r="I272" s="155"/>
      <c r="J272" s="155"/>
      <c r="K272" s="158"/>
      <c r="L272" s="159"/>
      <c r="M272" s="244"/>
      <c r="N272" s="155"/>
      <c r="O272" s="345">
        <f t="shared" si="174"/>
      </c>
      <c r="P272" s="345">
        <f t="shared" si="160"/>
      </c>
      <c r="Q272" s="508"/>
      <c r="R272" s="346"/>
      <c r="S272" s="347"/>
      <c r="T272" s="348"/>
      <c r="U272" s="347"/>
      <c r="V272" s="348"/>
      <c r="W272" s="347"/>
      <c r="X272" s="348"/>
      <c r="Y272" s="347"/>
      <c r="Z272" s="348"/>
      <c r="AA272" s="340" t="e">
        <f t="shared" si="161"/>
        <v>#N/A</v>
      </c>
      <c r="AB272" s="339">
        <f t="shared" si="175"/>
      </c>
      <c r="AC272" s="339">
        <f t="shared" si="176"/>
      </c>
      <c r="AD272" s="255">
        <f t="shared" si="177"/>
      </c>
      <c r="AE272" s="256">
        <f t="shared" si="178"/>
      </c>
      <c r="AF272" s="256">
        <f t="shared" si="179"/>
      </c>
      <c r="AG272" s="255">
        <f t="shared" si="180"/>
      </c>
      <c r="AH272" s="255">
        <f t="shared" si="162"/>
      </c>
      <c r="AI272" s="255">
        <f t="shared" si="181"/>
      </c>
      <c r="AJ272" s="255">
        <f t="shared" si="182"/>
      </c>
      <c r="AK272" s="255">
        <f t="shared" si="163"/>
      </c>
      <c r="AL272" s="255">
        <f t="shared" si="164"/>
      </c>
      <c r="AM272" s="120">
        <f ca="1" t="shared" si="187"/>
        <v>0</v>
      </c>
      <c r="AN272" s="120" t="e">
        <f t="shared" si="165"/>
        <v>#N/A</v>
      </c>
      <c r="AO272" s="120">
        <f>ROWS($AO$4:AO272)-1</f>
        <v>268</v>
      </c>
      <c r="AP272" s="255" t="e">
        <f t="shared" si="188"/>
        <v>#N/A</v>
      </c>
      <c r="AQ272" s="120" t="e">
        <f t="shared" si="166"/>
        <v>#N/A</v>
      </c>
      <c r="AR272" s="120" t="e">
        <f t="shared" si="159"/>
        <v>#N/A</v>
      </c>
      <c r="AS272" s="121">
        <f t="shared" si="184"/>
        <v>1</v>
      </c>
      <c r="AT272" s="120" t="str">
        <f t="shared" si="185"/>
        <v> </v>
      </c>
      <c r="AU272" s="120" t="str">
        <f t="shared" si="186"/>
        <v> </v>
      </c>
      <c r="AV272" s="120" t="e">
        <f t="shared" si="167"/>
        <v>#N/A</v>
      </c>
      <c r="AW272" s="120" t="e">
        <f t="shared" si="168"/>
        <v>#N/A</v>
      </c>
      <c r="AX272" s="120">
        <f t="shared" si="169"/>
      </c>
      <c r="AY272" s="120" t="e">
        <f t="shared" si="170"/>
        <v>#N/A</v>
      </c>
      <c r="AZ272" s="120" t="e">
        <f>VLOOKUP(AY272,'排出係数表'!$A$4:$C$202,2,FALSE)</f>
        <v>#N/A</v>
      </c>
      <c r="BA272" s="120" t="e">
        <f t="shared" si="171"/>
        <v>#N/A</v>
      </c>
      <c r="BB272" s="120" t="e">
        <f>VLOOKUP(AY272,'排出係数表'!$A$4:$C$202,3,FALSE)</f>
        <v>#N/A</v>
      </c>
      <c r="BC272" s="120" t="e">
        <f t="shared" si="172"/>
        <v>#N/A</v>
      </c>
      <c r="BD272" s="120">
        <f t="shared" si="183"/>
        <v>1</v>
      </c>
      <c r="BE272" s="122">
        <f t="shared" si="173"/>
      </c>
      <c r="BF272" s="123" t="e">
        <f t="shared" si="158"/>
        <v>#VALUE!</v>
      </c>
      <c r="BG272" s="122">
        <f t="shared" si="149"/>
      </c>
      <c r="BH272" s="120" t="e">
        <f t="shared" si="150"/>
        <v>#VALUE!</v>
      </c>
      <c r="BI272" s="120" t="e">
        <f t="shared" si="151"/>
        <v>#VALUE!</v>
      </c>
      <c r="BJ272" s="122" t="e">
        <f>VLOOKUP(AY272,'排出係数表'!$A$4:$D$202,4)</f>
        <v>#N/A</v>
      </c>
      <c r="BK272" s="257">
        <f t="shared" si="157"/>
      </c>
    </row>
    <row r="273" spans="1:63" s="124" customFormat="1" ht="13.5" customHeight="1">
      <c r="A273" s="120"/>
      <c r="B273" s="120"/>
      <c r="C273" s="155"/>
      <c r="D273" s="155"/>
      <c r="E273" s="155"/>
      <c r="F273" s="155"/>
      <c r="G273" s="156"/>
      <c r="H273" s="157"/>
      <c r="I273" s="155"/>
      <c r="J273" s="155"/>
      <c r="K273" s="158"/>
      <c r="L273" s="159"/>
      <c r="M273" s="244"/>
      <c r="N273" s="155"/>
      <c r="O273" s="345">
        <f t="shared" si="174"/>
      </c>
      <c r="P273" s="345">
        <f t="shared" si="160"/>
      </c>
      <c r="Q273" s="508"/>
      <c r="R273" s="346"/>
      <c r="S273" s="347"/>
      <c r="T273" s="348"/>
      <c r="U273" s="347"/>
      <c r="V273" s="348"/>
      <c r="W273" s="347"/>
      <c r="X273" s="348"/>
      <c r="Y273" s="347"/>
      <c r="Z273" s="348"/>
      <c r="AA273" s="340" t="e">
        <f t="shared" si="161"/>
        <v>#N/A</v>
      </c>
      <c r="AB273" s="339">
        <f t="shared" si="175"/>
      </c>
      <c r="AC273" s="339">
        <f t="shared" si="176"/>
      </c>
      <c r="AD273" s="255">
        <f t="shared" si="177"/>
      </c>
      <c r="AE273" s="256">
        <f t="shared" si="178"/>
      </c>
      <c r="AF273" s="256">
        <f t="shared" si="179"/>
      </c>
      <c r="AG273" s="255">
        <f t="shared" si="180"/>
      </c>
      <c r="AH273" s="255">
        <f t="shared" si="162"/>
      </c>
      <c r="AI273" s="255">
        <f t="shared" si="181"/>
      </c>
      <c r="AJ273" s="255">
        <f t="shared" si="182"/>
      </c>
      <c r="AK273" s="255">
        <f t="shared" si="163"/>
      </c>
      <c r="AL273" s="255">
        <f t="shared" si="164"/>
      </c>
      <c r="AM273" s="120">
        <f ca="1" t="shared" si="187"/>
        <v>0</v>
      </c>
      <c r="AN273" s="120" t="e">
        <f t="shared" si="165"/>
        <v>#N/A</v>
      </c>
      <c r="AO273" s="120">
        <f>ROWS($AO$4:AO273)-1</f>
        <v>269</v>
      </c>
      <c r="AP273" s="255" t="e">
        <f t="shared" si="188"/>
        <v>#N/A</v>
      </c>
      <c r="AQ273" s="120" t="e">
        <f t="shared" si="166"/>
        <v>#N/A</v>
      </c>
      <c r="AR273" s="120" t="e">
        <f t="shared" si="159"/>
        <v>#N/A</v>
      </c>
      <c r="AS273" s="121">
        <f t="shared" si="184"/>
        <v>1</v>
      </c>
      <c r="AT273" s="120" t="str">
        <f t="shared" si="185"/>
        <v> </v>
      </c>
      <c r="AU273" s="120" t="str">
        <f t="shared" si="186"/>
        <v> </v>
      </c>
      <c r="AV273" s="120" t="e">
        <f t="shared" si="167"/>
        <v>#N/A</v>
      </c>
      <c r="AW273" s="120" t="e">
        <f t="shared" si="168"/>
        <v>#N/A</v>
      </c>
      <c r="AX273" s="120">
        <f t="shared" si="169"/>
      </c>
      <c r="AY273" s="120" t="e">
        <f t="shared" si="170"/>
        <v>#N/A</v>
      </c>
      <c r="AZ273" s="120" t="e">
        <f>VLOOKUP(AY273,'排出係数表'!$A$4:$C$202,2,FALSE)</f>
        <v>#N/A</v>
      </c>
      <c r="BA273" s="120" t="e">
        <f t="shared" si="171"/>
        <v>#N/A</v>
      </c>
      <c r="BB273" s="120" t="e">
        <f>VLOOKUP(AY273,'排出係数表'!$A$4:$C$202,3,FALSE)</f>
        <v>#N/A</v>
      </c>
      <c r="BC273" s="120" t="e">
        <f t="shared" si="172"/>
        <v>#N/A</v>
      </c>
      <c r="BD273" s="120">
        <f t="shared" si="183"/>
        <v>1</v>
      </c>
      <c r="BE273" s="122">
        <f t="shared" si="173"/>
      </c>
      <c r="BF273" s="123" t="e">
        <f t="shared" si="158"/>
        <v>#VALUE!</v>
      </c>
      <c r="BG273" s="122">
        <f aca="true" t="shared" si="189" ref="BG273:BG304">IF(OR(AL273="",AL273=0),"",CONCATENATE(BF273,AR273,AU273))</f>
      </c>
      <c r="BH273" s="120" t="e">
        <f aca="true" t="shared" si="190" ref="BH273:BH304">AI273&amp;BF273&amp;AR273&amp;AU273</f>
        <v>#VALUE!</v>
      </c>
      <c r="BI273" s="120" t="e">
        <f aca="true" t="shared" si="191" ref="BI273:BI304">AG273&amp;BF273&amp;AR273&amp;AU273</f>
        <v>#VALUE!</v>
      </c>
      <c r="BJ273" s="122" t="e">
        <f>VLOOKUP(AY273,'排出係数表'!$A$4:$D$202,4)</f>
        <v>#N/A</v>
      </c>
      <c r="BK273" s="257">
        <f t="shared" si="157"/>
      </c>
    </row>
    <row r="274" spans="1:63" s="124" customFormat="1" ht="13.5" customHeight="1">
      <c r="A274" s="120"/>
      <c r="B274" s="120"/>
      <c r="C274" s="155"/>
      <c r="D274" s="155"/>
      <c r="E274" s="155"/>
      <c r="F274" s="155"/>
      <c r="G274" s="156"/>
      <c r="H274" s="157"/>
      <c r="I274" s="155"/>
      <c r="J274" s="155"/>
      <c r="K274" s="158"/>
      <c r="L274" s="159"/>
      <c r="M274" s="244"/>
      <c r="N274" s="155"/>
      <c r="O274" s="345">
        <f t="shared" si="174"/>
      </c>
      <c r="P274" s="345">
        <f t="shared" si="160"/>
      </c>
      <c r="Q274" s="508"/>
      <c r="R274" s="346"/>
      <c r="S274" s="347"/>
      <c r="T274" s="348"/>
      <c r="U274" s="347"/>
      <c r="V274" s="348"/>
      <c r="W274" s="347"/>
      <c r="X274" s="348"/>
      <c r="Y274" s="347"/>
      <c r="Z274" s="348"/>
      <c r="AA274" s="340" t="e">
        <f t="shared" si="161"/>
        <v>#N/A</v>
      </c>
      <c r="AB274" s="339">
        <f t="shared" si="175"/>
      </c>
      <c r="AC274" s="339">
        <f t="shared" si="176"/>
      </c>
      <c r="AD274" s="255">
        <f t="shared" si="177"/>
      </c>
      <c r="AE274" s="256">
        <f t="shared" si="178"/>
      </c>
      <c r="AF274" s="256">
        <f t="shared" si="179"/>
      </c>
      <c r="AG274" s="255">
        <f t="shared" si="180"/>
      </c>
      <c r="AH274" s="255">
        <f t="shared" si="162"/>
      </c>
      <c r="AI274" s="255">
        <f t="shared" si="181"/>
      </c>
      <c r="AJ274" s="255">
        <f t="shared" si="182"/>
      </c>
      <c r="AK274" s="255">
        <f t="shared" si="163"/>
      </c>
      <c r="AL274" s="255">
        <f t="shared" si="164"/>
      </c>
      <c r="AM274" s="120">
        <f ca="1" t="shared" si="187"/>
        <v>0</v>
      </c>
      <c r="AN274" s="120" t="e">
        <f t="shared" si="165"/>
        <v>#N/A</v>
      </c>
      <c r="AO274" s="120">
        <f>ROWS($AO$4:AO274)-1</f>
        <v>270</v>
      </c>
      <c r="AP274" s="255" t="e">
        <f t="shared" si="188"/>
        <v>#N/A</v>
      </c>
      <c r="AQ274" s="120" t="e">
        <f t="shared" si="166"/>
        <v>#N/A</v>
      </c>
      <c r="AR274" s="120" t="e">
        <f t="shared" si="159"/>
        <v>#N/A</v>
      </c>
      <c r="AS274" s="121">
        <f t="shared" si="184"/>
        <v>1</v>
      </c>
      <c r="AT274" s="120" t="str">
        <f t="shared" si="185"/>
        <v> </v>
      </c>
      <c r="AU274" s="120" t="str">
        <f t="shared" si="186"/>
        <v> </v>
      </c>
      <c r="AV274" s="120" t="e">
        <f t="shared" si="167"/>
        <v>#N/A</v>
      </c>
      <c r="AW274" s="120" t="e">
        <f t="shared" si="168"/>
        <v>#N/A</v>
      </c>
      <c r="AX274" s="120">
        <f t="shared" si="169"/>
      </c>
      <c r="AY274" s="120" t="e">
        <f t="shared" si="170"/>
        <v>#N/A</v>
      </c>
      <c r="AZ274" s="120" t="e">
        <f>VLOOKUP(AY274,'排出係数表'!$A$4:$C$202,2,FALSE)</f>
        <v>#N/A</v>
      </c>
      <c r="BA274" s="120" t="e">
        <f t="shared" si="171"/>
        <v>#N/A</v>
      </c>
      <c r="BB274" s="120" t="e">
        <f>VLOOKUP(AY274,'排出係数表'!$A$4:$C$202,3,FALSE)</f>
        <v>#N/A</v>
      </c>
      <c r="BC274" s="120" t="e">
        <f t="shared" si="172"/>
        <v>#N/A</v>
      </c>
      <c r="BD274" s="120">
        <f t="shared" si="183"/>
        <v>1</v>
      </c>
      <c r="BE274" s="122">
        <f t="shared" si="173"/>
      </c>
      <c r="BF274" s="123" t="e">
        <f t="shared" si="158"/>
        <v>#VALUE!</v>
      </c>
      <c r="BG274" s="122">
        <f t="shared" si="189"/>
      </c>
      <c r="BH274" s="120" t="e">
        <f t="shared" si="190"/>
        <v>#VALUE!</v>
      </c>
      <c r="BI274" s="120" t="e">
        <f t="shared" si="191"/>
        <v>#VALUE!</v>
      </c>
      <c r="BJ274" s="122" t="e">
        <f>VLOOKUP(AY274,'排出係数表'!$A$4:$D$202,4)</f>
        <v>#N/A</v>
      </c>
      <c r="BK274" s="257">
        <f t="shared" si="157"/>
      </c>
    </row>
    <row r="275" spans="1:63" s="124" customFormat="1" ht="13.5" customHeight="1">
      <c r="A275" s="120"/>
      <c r="B275" s="120"/>
      <c r="C275" s="155"/>
      <c r="D275" s="155"/>
      <c r="E275" s="155"/>
      <c r="F275" s="155"/>
      <c r="G275" s="156"/>
      <c r="H275" s="157"/>
      <c r="I275" s="155"/>
      <c r="J275" s="155"/>
      <c r="K275" s="158"/>
      <c r="L275" s="159"/>
      <c r="M275" s="244"/>
      <c r="N275" s="155"/>
      <c r="O275" s="345">
        <f t="shared" si="174"/>
      </c>
      <c r="P275" s="345">
        <f t="shared" si="160"/>
      </c>
      <c r="Q275" s="508"/>
      <c r="R275" s="346"/>
      <c r="S275" s="347"/>
      <c r="T275" s="348"/>
      <c r="U275" s="347"/>
      <c r="V275" s="348"/>
      <c r="W275" s="347"/>
      <c r="X275" s="348"/>
      <c r="Y275" s="347"/>
      <c r="Z275" s="348"/>
      <c r="AA275" s="340" t="e">
        <f t="shared" si="161"/>
        <v>#N/A</v>
      </c>
      <c r="AB275" s="339">
        <f t="shared" si="175"/>
      </c>
      <c r="AC275" s="339">
        <f t="shared" si="176"/>
      </c>
      <c r="AD275" s="255">
        <f t="shared" si="177"/>
      </c>
      <c r="AE275" s="256">
        <f t="shared" si="178"/>
      </c>
      <c r="AF275" s="256">
        <f t="shared" si="179"/>
      </c>
      <c r="AG275" s="255">
        <f t="shared" si="180"/>
      </c>
      <c r="AH275" s="255">
        <f t="shared" si="162"/>
      </c>
      <c r="AI275" s="255">
        <f t="shared" si="181"/>
      </c>
      <c r="AJ275" s="255">
        <f t="shared" si="182"/>
      </c>
      <c r="AK275" s="255">
        <f t="shared" si="163"/>
      </c>
      <c r="AL275" s="255">
        <f t="shared" si="164"/>
      </c>
      <c r="AM275" s="120">
        <f ca="1" t="shared" si="187"/>
        <v>0</v>
      </c>
      <c r="AN275" s="120" t="e">
        <f t="shared" si="165"/>
        <v>#N/A</v>
      </c>
      <c r="AO275" s="120">
        <f>ROWS($AO$4:AO275)-1</f>
        <v>271</v>
      </c>
      <c r="AP275" s="255" t="e">
        <f t="shared" si="188"/>
        <v>#N/A</v>
      </c>
      <c r="AQ275" s="120" t="e">
        <f t="shared" si="166"/>
        <v>#N/A</v>
      </c>
      <c r="AR275" s="120" t="e">
        <f t="shared" si="159"/>
        <v>#N/A</v>
      </c>
      <c r="AS275" s="121">
        <f t="shared" si="184"/>
        <v>1</v>
      </c>
      <c r="AT275" s="120" t="str">
        <f t="shared" si="185"/>
        <v> </v>
      </c>
      <c r="AU275" s="120" t="str">
        <f t="shared" si="186"/>
        <v> </v>
      </c>
      <c r="AV275" s="120" t="e">
        <f t="shared" si="167"/>
        <v>#N/A</v>
      </c>
      <c r="AW275" s="120" t="e">
        <f t="shared" si="168"/>
        <v>#N/A</v>
      </c>
      <c r="AX275" s="120">
        <f t="shared" si="169"/>
      </c>
      <c r="AY275" s="120" t="e">
        <f t="shared" si="170"/>
        <v>#N/A</v>
      </c>
      <c r="AZ275" s="120" t="e">
        <f>VLOOKUP(AY275,'排出係数表'!$A$4:$C$202,2,FALSE)</f>
        <v>#N/A</v>
      </c>
      <c r="BA275" s="120" t="e">
        <f t="shared" si="171"/>
        <v>#N/A</v>
      </c>
      <c r="BB275" s="120" t="e">
        <f>VLOOKUP(AY275,'排出係数表'!$A$4:$C$202,3,FALSE)</f>
        <v>#N/A</v>
      </c>
      <c r="BC275" s="120" t="e">
        <f t="shared" si="172"/>
        <v>#N/A</v>
      </c>
      <c r="BD275" s="120">
        <f t="shared" si="183"/>
        <v>1</v>
      </c>
      <c r="BE275" s="122">
        <f t="shared" si="173"/>
      </c>
      <c r="BF275" s="123" t="e">
        <f t="shared" si="158"/>
        <v>#VALUE!</v>
      </c>
      <c r="BG275" s="122">
        <f t="shared" si="189"/>
      </c>
      <c r="BH275" s="120" t="e">
        <f t="shared" si="190"/>
        <v>#VALUE!</v>
      </c>
      <c r="BI275" s="120" t="e">
        <f t="shared" si="191"/>
        <v>#VALUE!</v>
      </c>
      <c r="BJ275" s="122" t="e">
        <f>VLOOKUP(AY275,'排出係数表'!$A$4:$D$202,4)</f>
        <v>#N/A</v>
      </c>
      <c r="BK275" s="257">
        <f t="shared" si="157"/>
      </c>
    </row>
    <row r="276" spans="1:63" s="124" customFormat="1" ht="13.5" customHeight="1">
      <c r="A276" s="120"/>
      <c r="B276" s="120"/>
      <c r="C276" s="155"/>
      <c r="D276" s="155"/>
      <c r="E276" s="155"/>
      <c r="F276" s="155"/>
      <c r="G276" s="156"/>
      <c r="H276" s="157"/>
      <c r="I276" s="155"/>
      <c r="J276" s="155"/>
      <c r="K276" s="158"/>
      <c r="L276" s="159"/>
      <c r="M276" s="244"/>
      <c r="N276" s="155"/>
      <c r="O276" s="345">
        <f t="shared" si="174"/>
      </c>
      <c r="P276" s="345">
        <f t="shared" si="160"/>
      </c>
      <c r="Q276" s="508"/>
      <c r="R276" s="346"/>
      <c r="S276" s="347"/>
      <c r="T276" s="348"/>
      <c r="U276" s="347"/>
      <c r="V276" s="348"/>
      <c r="W276" s="347"/>
      <c r="X276" s="348"/>
      <c r="Y276" s="347"/>
      <c r="Z276" s="348"/>
      <c r="AA276" s="340" t="e">
        <f t="shared" si="161"/>
        <v>#N/A</v>
      </c>
      <c r="AB276" s="339">
        <f t="shared" si="175"/>
      </c>
      <c r="AC276" s="339">
        <f t="shared" si="176"/>
      </c>
      <c r="AD276" s="255">
        <f t="shared" si="177"/>
      </c>
      <c r="AE276" s="256">
        <f t="shared" si="178"/>
      </c>
      <c r="AF276" s="256">
        <f t="shared" si="179"/>
      </c>
      <c r="AG276" s="255">
        <f t="shared" si="180"/>
      </c>
      <c r="AH276" s="255">
        <f t="shared" si="162"/>
      </c>
      <c r="AI276" s="255">
        <f t="shared" si="181"/>
      </c>
      <c r="AJ276" s="255">
        <f t="shared" si="182"/>
      </c>
      <c r="AK276" s="255">
        <f t="shared" si="163"/>
      </c>
      <c r="AL276" s="255">
        <f t="shared" si="164"/>
      </c>
      <c r="AM276" s="120">
        <f ca="1" t="shared" si="187"/>
        <v>0</v>
      </c>
      <c r="AN276" s="120" t="e">
        <f t="shared" si="165"/>
        <v>#N/A</v>
      </c>
      <c r="AO276" s="120">
        <f>ROWS($AO$4:AO276)-1</f>
        <v>272</v>
      </c>
      <c r="AP276" s="255" t="e">
        <f t="shared" si="188"/>
        <v>#N/A</v>
      </c>
      <c r="AQ276" s="120" t="e">
        <f t="shared" si="166"/>
        <v>#N/A</v>
      </c>
      <c r="AR276" s="120" t="e">
        <f t="shared" si="159"/>
        <v>#N/A</v>
      </c>
      <c r="AS276" s="121">
        <f t="shared" si="184"/>
        <v>1</v>
      </c>
      <c r="AT276" s="120" t="str">
        <f t="shared" si="185"/>
        <v> </v>
      </c>
      <c r="AU276" s="120" t="str">
        <f t="shared" si="186"/>
        <v> </v>
      </c>
      <c r="AV276" s="120" t="e">
        <f t="shared" si="167"/>
        <v>#N/A</v>
      </c>
      <c r="AW276" s="120" t="e">
        <f t="shared" si="168"/>
        <v>#N/A</v>
      </c>
      <c r="AX276" s="120">
        <f t="shared" si="169"/>
      </c>
      <c r="AY276" s="120" t="e">
        <f t="shared" si="170"/>
        <v>#N/A</v>
      </c>
      <c r="AZ276" s="120" t="e">
        <f>VLOOKUP(AY276,'排出係数表'!$A$4:$C$202,2,FALSE)</f>
        <v>#N/A</v>
      </c>
      <c r="BA276" s="120" t="e">
        <f t="shared" si="171"/>
        <v>#N/A</v>
      </c>
      <c r="BB276" s="120" t="e">
        <f>VLOOKUP(AY276,'排出係数表'!$A$4:$C$202,3,FALSE)</f>
        <v>#N/A</v>
      </c>
      <c r="BC276" s="120" t="e">
        <f t="shared" si="172"/>
        <v>#N/A</v>
      </c>
      <c r="BD276" s="120">
        <f t="shared" si="183"/>
        <v>1</v>
      </c>
      <c r="BE276" s="122">
        <f t="shared" si="173"/>
      </c>
      <c r="BF276" s="123" t="e">
        <f t="shared" si="158"/>
        <v>#VALUE!</v>
      </c>
      <c r="BG276" s="122">
        <f t="shared" si="189"/>
      </c>
      <c r="BH276" s="120" t="e">
        <f t="shared" si="190"/>
        <v>#VALUE!</v>
      </c>
      <c r="BI276" s="120" t="e">
        <f t="shared" si="191"/>
        <v>#VALUE!</v>
      </c>
      <c r="BJ276" s="122" t="e">
        <f>VLOOKUP(AY276,'排出係数表'!$A$4:$D$202,4)</f>
        <v>#N/A</v>
      </c>
      <c r="BK276" s="257">
        <f t="shared" si="157"/>
      </c>
    </row>
    <row r="277" spans="1:63" s="124" customFormat="1" ht="13.5" customHeight="1">
      <c r="A277" s="120"/>
      <c r="B277" s="120"/>
      <c r="C277" s="155"/>
      <c r="D277" s="155"/>
      <c r="E277" s="155"/>
      <c r="F277" s="155"/>
      <c r="G277" s="156"/>
      <c r="H277" s="157"/>
      <c r="I277" s="155"/>
      <c r="J277" s="155"/>
      <c r="K277" s="158"/>
      <c r="L277" s="159"/>
      <c r="M277" s="244"/>
      <c r="N277" s="155"/>
      <c r="O277" s="345">
        <f t="shared" si="174"/>
      </c>
      <c r="P277" s="345">
        <f t="shared" si="160"/>
      </c>
      <c r="Q277" s="508"/>
      <c r="R277" s="346"/>
      <c r="S277" s="347"/>
      <c r="T277" s="348"/>
      <c r="U277" s="347"/>
      <c r="V277" s="348"/>
      <c r="W277" s="347"/>
      <c r="X277" s="348"/>
      <c r="Y277" s="347"/>
      <c r="Z277" s="348"/>
      <c r="AA277" s="340" t="e">
        <f t="shared" si="161"/>
        <v>#N/A</v>
      </c>
      <c r="AB277" s="339">
        <f t="shared" si="175"/>
      </c>
      <c r="AC277" s="339">
        <f t="shared" si="176"/>
      </c>
      <c r="AD277" s="255">
        <f t="shared" si="177"/>
      </c>
      <c r="AE277" s="256">
        <f t="shared" si="178"/>
      </c>
      <c r="AF277" s="256">
        <f t="shared" si="179"/>
      </c>
      <c r="AG277" s="255">
        <f t="shared" si="180"/>
      </c>
      <c r="AH277" s="255">
        <f t="shared" si="162"/>
      </c>
      <c r="AI277" s="255">
        <f t="shared" si="181"/>
      </c>
      <c r="AJ277" s="255">
        <f t="shared" si="182"/>
      </c>
      <c r="AK277" s="255">
        <f t="shared" si="163"/>
      </c>
      <c r="AL277" s="255">
        <f t="shared" si="164"/>
      </c>
      <c r="AM277" s="120">
        <f ca="1" t="shared" si="187"/>
        <v>0</v>
      </c>
      <c r="AN277" s="120" t="e">
        <f t="shared" si="165"/>
        <v>#N/A</v>
      </c>
      <c r="AO277" s="120">
        <f>ROWS($AO$4:AO277)-1</f>
        <v>273</v>
      </c>
      <c r="AP277" s="255" t="e">
        <f t="shared" si="188"/>
        <v>#N/A</v>
      </c>
      <c r="AQ277" s="120" t="e">
        <f t="shared" si="166"/>
        <v>#N/A</v>
      </c>
      <c r="AR277" s="120" t="e">
        <f t="shared" si="159"/>
        <v>#N/A</v>
      </c>
      <c r="AS277" s="121">
        <f t="shared" si="184"/>
        <v>1</v>
      </c>
      <c r="AT277" s="120" t="str">
        <f t="shared" si="185"/>
        <v> </v>
      </c>
      <c r="AU277" s="120" t="str">
        <f t="shared" si="186"/>
        <v> </v>
      </c>
      <c r="AV277" s="120" t="e">
        <f t="shared" si="167"/>
        <v>#N/A</v>
      </c>
      <c r="AW277" s="120" t="e">
        <f t="shared" si="168"/>
        <v>#N/A</v>
      </c>
      <c r="AX277" s="120">
        <f t="shared" si="169"/>
      </c>
      <c r="AY277" s="120" t="e">
        <f t="shared" si="170"/>
        <v>#N/A</v>
      </c>
      <c r="AZ277" s="120" t="e">
        <f>VLOOKUP(AY277,'排出係数表'!$A$4:$C$202,2,FALSE)</f>
        <v>#N/A</v>
      </c>
      <c r="BA277" s="120" t="e">
        <f t="shared" si="171"/>
        <v>#N/A</v>
      </c>
      <c r="BB277" s="120" t="e">
        <f>VLOOKUP(AY277,'排出係数表'!$A$4:$C$202,3,FALSE)</f>
        <v>#N/A</v>
      </c>
      <c r="BC277" s="120" t="e">
        <f t="shared" si="172"/>
        <v>#N/A</v>
      </c>
      <c r="BD277" s="120">
        <f t="shared" si="183"/>
        <v>1</v>
      </c>
      <c r="BE277" s="122">
        <f t="shared" si="173"/>
      </c>
      <c r="BF277" s="123" t="e">
        <f t="shared" si="158"/>
        <v>#VALUE!</v>
      </c>
      <c r="BG277" s="122">
        <f t="shared" si="189"/>
      </c>
      <c r="BH277" s="120" t="e">
        <f t="shared" si="190"/>
        <v>#VALUE!</v>
      </c>
      <c r="BI277" s="120" t="e">
        <f t="shared" si="191"/>
        <v>#VALUE!</v>
      </c>
      <c r="BJ277" s="122" t="e">
        <f>VLOOKUP(AY277,'排出係数表'!$A$4:$D$202,4)</f>
        <v>#N/A</v>
      </c>
      <c r="BK277" s="257">
        <f t="shared" si="157"/>
      </c>
    </row>
    <row r="278" spans="1:63" s="124" customFormat="1" ht="13.5" customHeight="1">
      <c r="A278" s="120"/>
      <c r="B278" s="120"/>
      <c r="C278" s="155"/>
      <c r="D278" s="155"/>
      <c r="E278" s="155"/>
      <c r="F278" s="155"/>
      <c r="G278" s="156"/>
      <c r="H278" s="157"/>
      <c r="I278" s="155"/>
      <c r="J278" s="155"/>
      <c r="K278" s="158"/>
      <c r="L278" s="159"/>
      <c r="M278" s="244"/>
      <c r="N278" s="155"/>
      <c r="O278" s="345">
        <f t="shared" si="174"/>
      </c>
      <c r="P278" s="345">
        <f t="shared" si="160"/>
      </c>
      <c r="Q278" s="508"/>
      <c r="R278" s="346"/>
      <c r="S278" s="347"/>
      <c r="T278" s="348"/>
      <c r="U278" s="347"/>
      <c r="V278" s="348"/>
      <c r="W278" s="347"/>
      <c r="X278" s="348"/>
      <c r="Y278" s="347"/>
      <c r="Z278" s="348"/>
      <c r="AA278" s="340" t="e">
        <f t="shared" si="161"/>
        <v>#N/A</v>
      </c>
      <c r="AB278" s="339">
        <f t="shared" si="175"/>
      </c>
      <c r="AC278" s="339">
        <f t="shared" si="176"/>
      </c>
      <c r="AD278" s="255">
        <f t="shared" si="177"/>
      </c>
      <c r="AE278" s="256">
        <f t="shared" si="178"/>
      </c>
      <c r="AF278" s="256">
        <f t="shared" si="179"/>
      </c>
      <c r="AG278" s="255">
        <f t="shared" si="180"/>
      </c>
      <c r="AH278" s="255">
        <f t="shared" si="162"/>
      </c>
      <c r="AI278" s="255">
        <f t="shared" si="181"/>
      </c>
      <c r="AJ278" s="255">
        <f t="shared" si="182"/>
      </c>
      <c r="AK278" s="255">
        <f t="shared" si="163"/>
      </c>
      <c r="AL278" s="255">
        <f t="shared" si="164"/>
      </c>
      <c r="AM278" s="120">
        <f ca="1" t="shared" si="187"/>
        <v>0</v>
      </c>
      <c r="AN278" s="120" t="e">
        <f t="shared" si="165"/>
        <v>#N/A</v>
      </c>
      <c r="AO278" s="120">
        <f>ROWS($AO$4:AO278)-1</f>
        <v>274</v>
      </c>
      <c r="AP278" s="255" t="e">
        <f t="shared" si="188"/>
        <v>#N/A</v>
      </c>
      <c r="AQ278" s="120" t="e">
        <f t="shared" si="166"/>
        <v>#N/A</v>
      </c>
      <c r="AR278" s="120" t="e">
        <f t="shared" si="159"/>
        <v>#N/A</v>
      </c>
      <c r="AS278" s="121">
        <f t="shared" si="184"/>
        <v>1</v>
      </c>
      <c r="AT278" s="120" t="str">
        <f t="shared" si="185"/>
        <v> </v>
      </c>
      <c r="AU278" s="120" t="str">
        <f t="shared" si="186"/>
        <v> </v>
      </c>
      <c r="AV278" s="120" t="e">
        <f t="shared" si="167"/>
        <v>#N/A</v>
      </c>
      <c r="AW278" s="120" t="e">
        <f t="shared" si="168"/>
        <v>#N/A</v>
      </c>
      <c r="AX278" s="120">
        <f t="shared" si="169"/>
      </c>
      <c r="AY278" s="120" t="e">
        <f t="shared" si="170"/>
        <v>#N/A</v>
      </c>
      <c r="AZ278" s="120" t="e">
        <f>VLOOKUP(AY278,'排出係数表'!$A$4:$C$202,2,FALSE)</f>
        <v>#N/A</v>
      </c>
      <c r="BA278" s="120" t="e">
        <f t="shared" si="171"/>
        <v>#N/A</v>
      </c>
      <c r="BB278" s="120" t="e">
        <f>VLOOKUP(AY278,'排出係数表'!$A$4:$C$202,3,FALSE)</f>
        <v>#N/A</v>
      </c>
      <c r="BC278" s="120" t="e">
        <f t="shared" si="172"/>
        <v>#N/A</v>
      </c>
      <c r="BD278" s="120">
        <f t="shared" si="183"/>
        <v>1</v>
      </c>
      <c r="BE278" s="122">
        <f t="shared" si="173"/>
      </c>
      <c r="BF278" s="123" t="e">
        <f t="shared" si="158"/>
        <v>#VALUE!</v>
      </c>
      <c r="BG278" s="122">
        <f t="shared" si="189"/>
      </c>
      <c r="BH278" s="120" t="e">
        <f t="shared" si="190"/>
        <v>#VALUE!</v>
      </c>
      <c r="BI278" s="120" t="e">
        <f t="shared" si="191"/>
        <v>#VALUE!</v>
      </c>
      <c r="BJ278" s="122" t="e">
        <f>VLOOKUP(AY278,'排出係数表'!$A$4:$D$202,4)</f>
        <v>#N/A</v>
      </c>
      <c r="BK278" s="257">
        <f t="shared" si="157"/>
      </c>
    </row>
    <row r="279" spans="1:63" s="124" customFormat="1" ht="13.5" customHeight="1">
      <c r="A279" s="120"/>
      <c r="B279" s="120"/>
      <c r="C279" s="155"/>
      <c r="D279" s="155"/>
      <c r="E279" s="155"/>
      <c r="F279" s="155"/>
      <c r="G279" s="156"/>
      <c r="H279" s="157"/>
      <c r="I279" s="155"/>
      <c r="J279" s="155"/>
      <c r="K279" s="158"/>
      <c r="L279" s="159"/>
      <c r="M279" s="244"/>
      <c r="N279" s="155"/>
      <c r="O279" s="345">
        <f t="shared" si="174"/>
      </c>
      <c r="P279" s="345">
        <f t="shared" si="160"/>
      </c>
      <c r="Q279" s="508"/>
      <c r="R279" s="346"/>
      <c r="S279" s="347"/>
      <c r="T279" s="348"/>
      <c r="U279" s="347"/>
      <c r="V279" s="348"/>
      <c r="W279" s="347"/>
      <c r="X279" s="348"/>
      <c r="Y279" s="347"/>
      <c r="Z279" s="348"/>
      <c r="AA279" s="340" t="e">
        <f t="shared" si="161"/>
        <v>#N/A</v>
      </c>
      <c r="AB279" s="339">
        <f t="shared" si="175"/>
      </c>
      <c r="AC279" s="339">
        <f t="shared" si="176"/>
      </c>
      <c r="AD279" s="255">
        <f t="shared" si="177"/>
      </c>
      <c r="AE279" s="256">
        <f t="shared" si="178"/>
      </c>
      <c r="AF279" s="256">
        <f t="shared" si="179"/>
      </c>
      <c r="AG279" s="255">
        <f t="shared" si="180"/>
      </c>
      <c r="AH279" s="255">
        <f t="shared" si="162"/>
      </c>
      <c r="AI279" s="255">
        <f t="shared" si="181"/>
      </c>
      <c r="AJ279" s="255">
        <f t="shared" si="182"/>
      </c>
      <c r="AK279" s="255">
        <f t="shared" si="163"/>
      </c>
      <c r="AL279" s="255">
        <f t="shared" si="164"/>
      </c>
      <c r="AM279" s="120">
        <f ca="1" t="shared" si="187"/>
        <v>0</v>
      </c>
      <c r="AN279" s="120" t="e">
        <f t="shared" si="165"/>
        <v>#N/A</v>
      </c>
      <c r="AO279" s="120">
        <f>ROWS($AO$4:AO279)-1</f>
        <v>275</v>
      </c>
      <c r="AP279" s="255" t="e">
        <f t="shared" si="188"/>
        <v>#N/A</v>
      </c>
      <c r="AQ279" s="120" t="e">
        <f t="shared" si="166"/>
        <v>#N/A</v>
      </c>
      <c r="AR279" s="120" t="e">
        <f t="shared" si="159"/>
        <v>#N/A</v>
      </c>
      <c r="AS279" s="121">
        <f t="shared" si="184"/>
        <v>1</v>
      </c>
      <c r="AT279" s="120" t="str">
        <f t="shared" si="185"/>
        <v> </v>
      </c>
      <c r="AU279" s="120" t="str">
        <f t="shared" si="186"/>
        <v> </v>
      </c>
      <c r="AV279" s="120" t="e">
        <f t="shared" si="167"/>
        <v>#N/A</v>
      </c>
      <c r="AW279" s="120" t="e">
        <f t="shared" si="168"/>
        <v>#N/A</v>
      </c>
      <c r="AX279" s="120">
        <f t="shared" si="169"/>
      </c>
      <c r="AY279" s="120" t="e">
        <f t="shared" si="170"/>
        <v>#N/A</v>
      </c>
      <c r="AZ279" s="120" t="e">
        <f>VLOOKUP(AY279,'排出係数表'!$A$4:$C$202,2,FALSE)</f>
        <v>#N/A</v>
      </c>
      <c r="BA279" s="120" t="e">
        <f t="shared" si="171"/>
        <v>#N/A</v>
      </c>
      <c r="BB279" s="120" t="e">
        <f>VLOOKUP(AY279,'排出係数表'!$A$4:$C$202,3,FALSE)</f>
        <v>#N/A</v>
      </c>
      <c r="BC279" s="120" t="e">
        <f t="shared" si="172"/>
        <v>#N/A</v>
      </c>
      <c r="BD279" s="120">
        <f t="shared" si="183"/>
        <v>1</v>
      </c>
      <c r="BE279" s="122">
        <f t="shared" si="173"/>
      </c>
      <c r="BF279" s="123" t="e">
        <f aca="true" t="shared" si="192" ref="BF279:BF298">VALUE(LEFT(J279,2))</f>
        <v>#VALUE!</v>
      </c>
      <c r="BG279" s="122">
        <f t="shared" si="189"/>
      </c>
      <c r="BH279" s="120" t="e">
        <f t="shared" si="190"/>
        <v>#VALUE!</v>
      </c>
      <c r="BI279" s="120" t="e">
        <f t="shared" si="191"/>
        <v>#VALUE!</v>
      </c>
      <c r="BJ279" s="122" t="e">
        <f>VLOOKUP(AY279,'排出係数表'!$A$4:$D$202,4)</f>
        <v>#N/A</v>
      </c>
      <c r="BK279" s="257">
        <f t="shared" si="157"/>
      </c>
    </row>
    <row r="280" spans="1:63" s="124" customFormat="1" ht="13.5" customHeight="1">
      <c r="A280" s="120"/>
      <c r="B280" s="120"/>
      <c r="C280" s="155"/>
      <c r="D280" s="155"/>
      <c r="E280" s="155"/>
      <c r="F280" s="155"/>
      <c r="G280" s="156"/>
      <c r="H280" s="157"/>
      <c r="I280" s="155"/>
      <c r="J280" s="155"/>
      <c r="K280" s="158"/>
      <c r="L280" s="159"/>
      <c r="M280" s="244"/>
      <c r="N280" s="155"/>
      <c r="O280" s="345">
        <f t="shared" si="174"/>
      </c>
      <c r="P280" s="345">
        <f t="shared" si="160"/>
      </c>
      <c r="Q280" s="508"/>
      <c r="R280" s="346"/>
      <c r="S280" s="347"/>
      <c r="T280" s="348"/>
      <c r="U280" s="347"/>
      <c r="V280" s="348"/>
      <c r="W280" s="347"/>
      <c r="X280" s="348"/>
      <c r="Y280" s="347"/>
      <c r="Z280" s="348"/>
      <c r="AA280" s="340" t="e">
        <f t="shared" si="161"/>
        <v>#N/A</v>
      </c>
      <c r="AB280" s="339">
        <f t="shared" si="175"/>
      </c>
      <c r="AC280" s="339">
        <f t="shared" si="176"/>
      </c>
      <c r="AD280" s="255">
        <f t="shared" si="177"/>
      </c>
      <c r="AE280" s="256">
        <f t="shared" si="178"/>
      </c>
      <c r="AF280" s="256">
        <f t="shared" si="179"/>
      </c>
      <c r="AG280" s="255">
        <f t="shared" si="180"/>
      </c>
      <c r="AH280" s="255">
        <f t="shared" si="162"/>
      </c>
      <c r="AI280" s="255">
        <f t="shared" si="181"/>
      </c>
      <c r="AJ280" s="255">
        <f t="shared" si="182"/>
      </c>
      <c r="AK280" s="255">
        <f t="shared" si="163"/>
      </c>
      <c r="AL280" s="255">
        <f t="shared" si="164"/>
      </c>
      <c r="AM280" s="120">
        <f ca="1" t="shared" si="187"/>
        <v>0</v>
      </c>
      <c r="AN280" s="120" t="e">
        <f t="shared" si="165"/>
        <v>#N/A</v>
      </c>
      <c r="AO280" s="120">
        <f>ROWS($AO$4:AO280)-1</f>
        <v>276</v>
      </c>
      <c r="AP280" s="255" t="e">
        <f t="shared" si="188"/>
        <v>#N/A</v>
      </c>
      <c r="AQ280" s="120" t="e">
        <f t="shared" si="166"/>
        <v>#N/A</v>
      </c>
      <c r="AR280" s="120" t="e">
        <f t="shared" si="159"/>
        <v>#N/A</v>
      </c>
      <c r="AS280" s="121">
        <f t="shared" si="184"/>
        <v>1</v>
      </c>
      <c r="AT280" s="120" t="str">
        <f t="shared" si="185"/>
        <v> </v>
      </c>
      <c r="AU280" s="120" t="str">
        <f t="shared" si="186"/>
        <v> </v>
      </c>
      <c r="AV280" s="120" t="e">
        <f t="shared" si="167"/>
        <v>#N/A</v>
      </c>
      <c r="AW280" s="120" t="e">
        <f t="shared" si="168"/>
        <v>#N/A</v>
      </c>
      <c r="AX280" s="120">
        <f t="shared" si="169"/>
      </c>
      <c r="AY280" s="120" t="e">
        <f t="shared" si="170"/>
        <v>#N/A</v>
      </c>
      <c r="AZ280" s="120" t="e">
        <f>VLOOKUP(AY280,'排出係数表'!$A$4:$C$202,2,FALSE)</f>
        <v>#N/A</v>
      </c>
      <c r="BA280" s="120" t="e">
        <f t="shared" si="171"/>
        <v>#N/A</v>
      </c>
      <c r="BB280" s="120" t="e">
        <f>VLOOKUP(AY280,'排出係数表'!$A$4:$C$202,3,FALSE)</f>
        <v>#N/A</v>
      </c>
      <c r="BC280" s="120" t="e">
        <f t="shared" si="172"/>
        <v>#N/A</v>
      </c>
      <c r="BD280" s="120">
        <f t="shared" si="183"/>
        <v>1</v>
      </c>
      <c r="BE280" s="122">
        <f t="shared" si="173"/>
      </c>
      <c r="BF280" s="123" t="e">
        <f t="shared" si="192"/>
        <v>#VALUE!</v>
      </c>
      <c r="BG280" s="122">
        <f t="shared" si="189"/>
      </c>
      <c r="BH280" s="120" t="e">
        <f t="shared" si="190"/>
        <v>#VALUE!</v>
      </c>
      <c r="BI280" s="120" t="e">
        <f t="shared" si="191"/>
        <v>#VALUE!</v>
      </c>
      <c r="BJ280" s="122" t="e">
        <f>VLOOKUP(AY280,'排出係数表'!$A$4:$D$202,4)</f>
        <v>#N/A</v>
      </c>
      <c r="BK280" s="257">
        <f t="shared" si="157"/>
      </c>
    </row>
    <row r="281" spans="1:63" s="124" customFormat="1" ht="13.5" customHeight="1">
      <c r="A281" s="120"/>
      <c r="B281" s="120"/>
      <c r="C281" s="155"/>
      <c r="D281" s="155"/>
      <c r="E281" s="155"/>
      <c r="F281" s="155"/>
      <c r="G281" s="156"/>
      <c r="H281" s="157"/>
      <c r="I281" s="155"/>
      <c r="J281" s="155"/>
      <c r="K281" s="158"/>
      <c r="L281" s="159"/>
      <c r="M281" s="244"/>
      <c r="N281" s="155"/>
      <c r="O281" s="345">
        <f t="shared" si="174"/>
      </c>
      <c r="P281" s="345">
        <f t="shared" si="160"/>
      </c>
      <c r="Q281" s="508"/>
      <c r="R281" s="346"/>
      <c r="S281" s="347"/>
      <c r="T281" s="348"/>
      <c r="U281" s="347"/>
      <c r="V281" s="348"/>
      <c r="W281" s="347"/>
      <c r="X281" s="348"/>
      <c r="Y281" s="347"/>
      <c r="Z281" s="348"/>
      <c r="AA281" s="340" t="e">
        <f t="shared" si="161"/>
        <v>#N/A</v>
      </c>
      <c r="AB281" s="339">
        <f t="shared" si="175"/>
      </c>
      <c r="AC281" s="339">
        <f t="shared" si="176"/>
      </c>
      <c r="AD281" s="255">
        <f t="shared" si="177"/>
      </c>
      <c r="AE281" s="256">
        <f t="shared" si="178"/>
      </c>
      <c r="AF281" s="256">
        <f t="shared" si="179"/>
      </c>
      <c r="AG281" s="255">
        <f t="shared" si="180"/>
      </c>
      <c r="AH281" s="255">
        <f t="shared" si="162"/>
      </c>
      <c r="AI281" s="255">
        <f t="shared" si="181"/>
      </c>
      <c r="AJ281" s="255">
        <f t="shared" si="182"/>
      </c>
      <c r="AK281" s="255">
        <f t="shared" si="163"/>
      </c>
      <c r="AL281" s="255">
        <f t="shared" si="164"/>
      </c>
      <c r="AM281" s="120">
        <f ca="1" t="shared" si="187"/>
        <v>0</v>
      </c>
      <c r="AN281" s="120" t="e">
        <f t="shared" si="165"/>
        <v>#N/A</v>
      </c>
      <c r="AO281" s="120">
        <f>ROWS($AO$4:AO281)-1</f>
        <v>277</v>
      </c>
      <c r="AP281" s="255" t="e">
        <f t="shared" si="188"/>
        <v>#N/A</v>
      </c>
      <c r="AQ281" s="120" t="e">
        <f t="shared" si="166"/>
        <v>#N/A</v>
      </c>
      <c r="AR281" s="120" t="e">
        <f t="shared" si="159"/>
        <v>#N/A</v>
      </c>
      <c r="AS281" s="121">
        <f t="shared" si="184"/>
        <v>1</v>
      </c>
      <c r="AT281" s="120" t="str">
        <f t="shared" si="185"/>
        <v> </v>
      </c>
      <c r="AU281" s="120" t="str">
        <f t="shared" si="186"/>
        <v> </v>
      </c>
      <c r="AV281" s="120" t="e">
        <f t="shared" si="167"/>
        <v>#N/A</v>
      </c>
      <c r="AW281" s="120" t="e">
        <f t="shared" si="168"/>
        <v>#N/A</v>
      </c>
      <c r="AX281" s="120">
        <f t="shared" si="169"/>
      </c>
      <c r="AY281" s="120" t="e">
        <f t="shared" si="170"/>
        <v>#N/A</v>
      </c>
      <c r="AZ281" s="120" t="e">
        <f>VLOOKUP(AY281,'排出係数表'!$A$4:$C$202,2,FALSE)</f>
        <v>#N/A</v>
      </c>
      <c r="BA281" s="120" t="e">
        <f t="shared" si="171"/>
        <v>#N/A</v>
      </c>
      <c r="BB281" s="120" t="e">
        <f>VLOOKUP(AY281,'排出係数表'!$A$4:$C$202,3,FALSE)</f>
        <v>#N/A</v>
      </c>
      <c r="BC281" s="120" t="e">
        <f t="shared" si="172"/>
        <v>#N/A</v>
      </c>
      <c r="BD281" s="120">
        <f t="shared" si="183"/>
        <v>1</v>
      </c>
      <c r="BE281" s="122">
        <f t="shared" si="173"/>
      </c>
      <c r="BF281" s="123" t="e">
        <f t="shared" si="192"/>
        <v>#VALUE!</v>
      </c>
      <c r="BG281" s="122">
        <f t="shared" si="189"/>
      </c>
      <c r="BH281" s="120" t="e">
        <f t="shared" si="190"/>
        <v>#VALUE!</v>
      </c>
      <c r="BI281" s="120" t="e">
        <f t="shared" si="191"/>
        <v>#VALUE!</v>
      </c>
      <c r="BJ281" s="122" t="e">
        <f>VLOOKUP(AY281,'排出係数表'!$A$4:$D$202,4)</f>
        <v>#N/A</v>
      </c>
      <c r="BK281" s="257">
        <f aca="true" t="shared" si="193" ref="BK281:BK304">LEFT(K281,4)&amp;LEFT(L281,2)</f>
      </c>
    </row>
    <row r="282" spans="1:63" s="124" customFormat="1" ht="13.5" customHeight="1">
      <c r="A282" s="120"/>
      <c r="B282" s="120"/>
      <c r="C282" s="155"/>
      <c r="D282" s="155"/>
      <c r="E282" s="155"/>
      <c r="F282" s="155"/>
      <c r="G282" s="156"/>
      <c r="H282" s="157"/>
      <c r="I282" s="155"/>
      <c r="J282" s="155"/>
      <c r="K282" s="158"/>
      <c r="L282" s="159"/>
      <c r="M282" s="244"/>
      <c r="N282" s="155"/>
      <c r="O282" s="345">
        <f t="shared" si="174"/>
      </c>
      <c r="P282" s="345">
        <f t="shared" si="160"/>
      </c>
      <c r="Q282" s="508"/>
      <c r="R282" s="346"/>
      <c r="S282" s="347"/>
      <c r="T282" s="348"/>
      <c r="U282" s="347"/>
      <c r="V282" s="348"/>
      <c r="W282" s="347"/>
      <c r="X282" s="348"/>
      <c r="Y282" s="347"/>
      <c r="Z282" s="348"/>
      <c r="AA282" s="340" t="e">
        <f t="shared" si="161"/>
        <v>#N/A</v>
      </c>
      <c r="AB282" s="339">
        <f t="shared" si="175"/>
      </c>
      <c r="AC282" s="339">
        <f t="shared" si="176"/>
      </c>
      <c r="AD282" s="255">
        <f t="shared" si="177"/>
      </c>
      <c r="AE282" s="256">
        <f t="shared" si="178"/>
      </c>
      <c r="AF282" s="256">
        <f t="shared" si="179"/>
      </c>
      <c r="AG282" s="255">
        <f t="shared" si="180"/>
      </c>
      <c r="AH282" s="255">
        <f t="shared" si="162"/>
      </c>
      <c r="AI282" s="255">
        <f t="shared" si="181"/>
      </c>
      <c r="AJ282" s="255">
        <f t="shared" si="182"/>
      </c>
      <c r="AK282" s="255">
        <f t="shared" si="163"/>
      </c>
      <c r="AL282" s="255">
        <f t="shared" si="164"/>
      </c>
      <c r="AM282" s="120">
        <f ca="1" t="shared" si="187"/>
        <v>0</v>
      </c>
      <c r="AN282" s="120" t="e">
        <f t="shared" si="165"/>
        <v>#N/A</v>
      </c>
      <c r="AO282" s="120">
        <f>ROWS($AO$4:AO282)-1</f>
        <v>278</v>
      </c>
      <c r="AP282" s="255" t="e">
        <f t="shared" si="188"/>
        <v>#N/A</v>
      </c>
      <c r="AQ282" s="120" t="e">
        <f t="shared" si="166"/>
        <v>#N/A</v>
      </c>
      <c r="AR282" s="120" t="e">
        <f t="shared" si="159"/>
        <v>#N/A</v>
      </c>
      <c r="AS282" s="121">
        <f t="shared" si="184"/>
        <v>1</v>
      </c>
      <c r="AT282" s="120" t="str">
        <f t="shared" si="185"/>
        <v> </v>
      </c>
      <c r="AU282" s="120" t="str">
        <f t="shared" si="186"/>
        <v> </v>
      </c>
      <c r="AV282" s="120" t="e">
        <f t="shared" si="167"/>
        <v>#N/A</v>
      </c>
      <c r="AW282" s="120" t="e">
        <f t="shared" si="168"/>
        <v>#N/A</v>
      </c>
      <c r="AX282" s="120">
        <f t="shared" si="169"/>
      </c>
      <c r="AY282" s="120" t="e">
        <f t="shared" si="170"/>
        <v>#N/A</v>
      </c>
      <c r="AZ282" s="120" t="e">
        <f>VLOOKUP(AY282,'排出係数表'!$A$4:$C$202,2,FALSE)</f>
        <v>#N/A</v>
      </c>
      <c r="BA282" s="120" t="e">
        <f t="shared" si="171"/>
        <v>#N/A</v>
      </c>
      <c r="BB282" s="120" t="e">
        <f>VLOOKUP(AY282,'排出係数表'!$A$4:$C$202,3,FALSE)</f>
        <v>#N/A</v>
      </c>
      <c r="BC282" s="120" t="e">
        <f t="shared" si="172"/>
        <v>#N/A</v>
      </c>
      <c r="BD282" s="120">
        <f t="shared" si="183"/>
        <v>1</v>
      </c>
      <c r="BE282" s="122">
        <f t="shared" si="173"/>
      </c>
      <c r="BF282" s="123" t="e">
        <f t="shared" si="192"/>
        <v>#VALUE!</v>
      </c>
      <c r="BG282" s="122">
        <f t="shared" si="189"/>
      </c>
      <c r="BH282" s="120" t="e">
        <f t="shared" si="190"/>
        <v>#VALUE!</v>
      </c>
      <c r="BI282" s="120" t="e">
        <f t="shared" si="191"/>
        <v>#VALUE!</v>
      </c>
      <c r="BJ282" s="122" t="e">
        <f>VLOOKUP(AY282,'排出係数表'!$A$4:$D$202,4)</f>
        <v>#N/A</v>
      </c>
      <c r="BK282" s="257">
        <f t="shared" si="193"/>
      </c>
    </row>
    <row r="283" spans="1:63" s="124" customFormat="1" ht="13.5" customHeight="1">
      <c r="A283" s="120"/>
      <c r="B283" s="120"/>
      <c r="C283" s="155"/>
      <c r="D283" s="155"/>
      <c r="E283" s="155"/>
      <c r="F283" s="155"/>
      <c r="G283" s="156"/>
      <c r="H283" s="157"/>
      <c r="I283" s="155"/>
      <c r="J283" s="155"/>
      <c r="K283" s="158"/>
      <c r="L283" s="159"/>
      <c r="M283" s="244"/>
      <c r="N283" s="155"/>
      <c r="O283" s="345">
        <f t="shared" si="174"/>
      </c>
      <c r="P283" s="345">
        <f t="shared" si="160"/>
      </c>
      <c r="Q283" s="508"/>
      <c r="R283" s="346"/>
      <c r="S283" s="347"/>
      <c r="T283" s="348"/>
      <c r="U283" s="347"/>
      <c r="V283" s="348"/>
      <c r="W283" s="347"/>
      <c r="X283" s="348"/>
      <c r="Y283" s="347"/>
      <c r="Z283" s="348"/>
      <c r="AA283" s="340" t="e">
        <f t="shared" si="161"/>
        <v>#N/A</v>
      </c>
      <c r="AB283" s="339">
        <f t="shared" si="175"/>
      </c>
      <c r="AC283" s="339">
        <f t="shared" si="176"/>
      </c>
      <c r="AD283" s="255">
        <f t="shared" si="177"/>
      </c>
      <c r="AE283" s="256">
        <f t="shared" si="178"/>
      </c>
      <c r="AF283" s="256">
        <f t="shared" si="179"/>
      </c>
      <c r="AG283" s="255">
        <f t="shared" si="180"/>
      </c>
      <c r="AH283" s="255">
        <f t="shared" si="162"/>
      </c>
      <c r="AI283" s="255">
        <f t="shared" si="181"/>
      </c>
      <c r="AJ283" s="255">
        <f t="shared" si="182"/>
      </c>
      <c r="AK283" s="255">
        <f t="shared" si="163"/>
      </c>
      <c r="AL283" s="255">
        <f t="shared" si="164"/>
      </c>
      <c r="AM283" s="120">
        <f ca="1" t="shared" si="187"/>
        <v>0</v>
      </c>
      <c r="AN283" s="120" t="e">
        <f t="shared" si="165"/>
        <v>#N/A</v>
      </c>
      <c r="AO283" s="120">
        <f>ROWS($AO$4:AO283)-1</f>
        <v>279</v>
      </c>
      <c r="AP283" s="255" t="e">
        <f t="shared" si="188"/>
        <v>#N/A</v>
      </c>
      <c r="AQ283" s="120" t="e">
        <f t="shared" si="166"/>
        <v>#N/A</v>
      </c>
      <c r="AR283" s="120" t="e">
        <f t="shared" si="159"/>
        <v>#N/A</v>
      </c>
      <c r="AS283" s="121">
        <f t="shared" si="184"/>
        <v>1</v>
      </c>
      <c r="AT283" s="120" t="str">
        <f t="shared" si="185"/>
        <v> </v>
      </c>
      <c r="AU283" s="120" t="str">
        <f t="shared" si="186"/>
        <v> </v>
      </c>
      <c r="AV283" s="120" t="e">
        <f t="shared" si="167"/>
        <v>#N/A</v>
      </c>
      <c r="AW283" s="120" t="e">
        <f t="shared" si="168"/>
        <v>#N/A</v>
      </c>
      <c r="AX283" s="120">
        <f t="shared" si="169"/>
      </c>
      <c r="AY283" s="120" t="e">
        <f t="shared" si="170"/>
        <v>#N/A</v>
      </c>
      <c r="AZ283" s="120" t="e">
        <f>VLOOKUP(AY283,'排出係数表'!$A$4:$C$202,2,FALSE)</f>
        <v>#N/A</v>
      </c>
      <c r="BA283" s="120" t="e">
        <f t="shared" si="171"/>
        <v>#N/A</v>
      </c>
      <c r="BB283" s="120" t="e">
        <f>VLOOKUP(AY283,'排出係数表'!$A$4:$C$202,3,FALSE)</f>
        <v>#N/A</v>
      </c>
      <c r="BC283" s="120" t="e">
        <f t="shared" si="172"/>
        <v>#N/A</v>
      </c>
      <c r="BD283" s="120">
        <f t="shared" si="183"/>
        <v>1</v>
      </c>
      <c r="BE283" s="122">
        <f t="shared" si="173"/>
      </c>
      <c r="BF283" s="123" t="e">
        <f t="shared" si="192"/>
        <v>#VALUE!</v>
      </c>
      <c r="BG283" s="122">
        <f t="shared" si="189"/>
      </c>
      <c r="BH283" s="120" t="e">
        <f t="shared" si="190"/>
        <v>#VALUE!</v>
      </c>
      <c r="BI283" s="120" t="e">
        <f t="shared" si="191"/>
        <v>#VALUE!</v>
      </c>
      <c r="BJ283" s="122" t="e">
        <f>VLOOKUP(AY283,'排出係数表'!$A$4:$D$202,4)</f>
        <v>#N/A</v>
      </c>
      <c r="BK283" s="257">
        <f t="shared" si="193"/>
      </c>
    </row>
    <row r="284" spans="1:63" s="124" customFormat="1" ht="13.5" customHeight="1">
      <c r="A284" s="120"/>
      <c r="B284" s="120"/>
      <c r="C284" s="155"/>
      <c r="D284" s="155"/>
      <c r="E284" s="155"/>
      <c r="F284" s="155"/>
      <c r="G284" s="156"/>
      <c r="H284" s="157"/>
      <c r="I284" s="155"/>
      <c r="J284" s="155"/>
      <c r="K284" s="158"/>
      <c r="L284" s="159"/>
      <c r="M284" s="244"/>
      <c r="N284" s="155"/>
      <c r="O284" s="345">
        <f t="shared" si="174"/>
      </c>
      <c r="P284" s="345">
        <f t="shared" si="160"/>
      </c>
      <c r="Q284" s="508"/>
      <c r="R284" s="346"/>
      <c r="S284" s="347"/>
      <c r="T284" s="348"/>
      <c r="U284" s="347"/>
      <c r="V284" s="348"/>
      <c r="W284" s="347"/>
      <c r="X284" s="348"/>
      <c r="Y284" s="347"/>
      <c r="Z284" s="348"/>
      <c r="AA284" s="340" t="e">
        <f t="shared" si="161"/>
        <v>#N/A</v>
      </c>
      <c r="AB284" s="339">
        <f t="shared" si="175"/>
      </c>
      <c r="AC284" s="339">
        <f t="shared" si="176"/>
      </c>
      <c r="AD284" s="255">
        <f t="shared" si="177"/>
      </c>
      <c r="AE284" s="256">
        <f t="shared" si="178"/>
      </c>
      <c r="AF284" s="256">
        <f t="shared" si="179"/>
      </c>
      <c r="AG284" s="255">
        <f t="shared" si="180"/>
      </c>
      <c r="AH284" s="255">
        <f t="shared" si="162"/>
      </c>
      <c r="AI284" s="255">
        <f t="shared" si="181"/>
      </c>
      <c r="AJ284" s="255">
        <f t="shared" si="182"/>
      </c>
      <c r="AK284" s="255">
        <f t="shared" si="163"/>
      </c>
      <c r="AL284" s="255">
        <f t="shared" si="164"/>
      </c>
      <c r="AM284" s="120">
        <f ca="1" t="shared" si="187"/>
        <v>0</v>
      </c>
      <c r="AN284" s="120" t="e">
        <f t="shared" si="165"/>
        <v>#N/A</v>
      </c>
      <c r="AO284" s="120">
        <f>ROWS($AO$4:AO284)-1</f>
        <v>280</v>
      </c>
      <c r="AP284" s="255" t="e">
        <f t="shared" si="188"/>
        <v>#N/A</v>
      </c>
      <c r="AQ284" s="120" t="e">
        <f t="shared" si="166"/>
        <v>#N/A</v>
      </c>
      <c r="AR284" s="120" t="e">
        <f t="shared" si="159"/>
        <v>#N/A</v>
      </c>
      <c r="AS284" s="121">
        <f t="shared" si="184"/>
        <v>1</v>
      </c>
      <c r="AT284" s="120" t="str">
        <f t="shared" si="185"/>
        <v> </v>
      </c>
      <c r="AU284" s="120" t="str">
        <f t="shared" si="186"/>
        <v> </v>
      </c>
      <c r="AV284" s="120" t="e">
        <f t="shared" si="167"/>
        <v>#N/A</v>
      </c>
      <c r="AW284" s="120" t="e">
        <f t="shared" si="168"/>
        <v>#N/A</v>
      </c>
      <c r="AX284" s="120">
        <f t="shared" si="169"/>
      </c>
      <c r="AY284" s="120" t="e">
        <f t="shared" si="170"/>
        <v>#N/A</v>
      </c>
      <c r="AZ284" s="120" t="e">
        <f>VLOOKUP(AY284,'排出係数表'!$A$4:$C$202,2,FALSE)</f>
        <v>#N/A</v>
      </c>
      <c r="BA284" s="120" t="e">
        <f t="shared" si="171"/>
        <v>#N/A</v>
      </c>
      <c r="BB284" s="120" t="e">
        <f>VLOOKUP(AY284,'排出係数表'!$A$4:$C$202,3,FALSE)</f>
        <v>#N/A</v>
      </c>
      <c r="BC284" s="120" t="e">
        <f t="shared" si="172"/>
        <v>#N/A</v>
      </c>
      <c r="BD284" s="120">
        <f t="shared" si="183"/>
        <v>1</v>
      </c>
      <c r="BE284" s="122">
        <f t="shared" si="173"/>
      </c>
      <c r="BF284" s="123" t="e">
        <f t="shared" si="192"/>
        <v>#VALUE!</v>
      </c>
      <c r="BG284" s="122">
        <f t="shared" si="189"/>
      </c>
      <c r="BH284" s="120" t="e">
        <f t="shared" si="190"/>
        <v>#VALUE!</v>
      </c>
      <c r="BI284" s="120" t="e">
        <f t="shared" si="191"/>
        <v>#VALUE!</v>
      </c>
      <c r="BJ284" s="122" t="e">
        <f>VLOOKUP(AY284,'排出係数表'!$A$4:$D$202,4)</f>
        <v>#N/A</v>
      </c>
      <c r="BK284" s="257">
        <f t="shared" si="193"/>
      </c>
    </row>
    <row r="285" spans="1:63" s="124" customFormat="1" ht="13.5" customHeight="1">
      <c r="A285" s="120"/>
      <c r="B285" s="120"/>
      <c r="C285" s="155"/>
      <c r="D285" s="155"/>
      <c r="E285" s="155"/>
      <c r="F285" s="155"/>
      <c r="G285" s="156"/>
      <c r="H285" s="157"/>
      <c r="I285" s="155"/>
      <c r="J285" s="155"/>
      <c r="K285" s="158"/>
      <c r="L285" s="159"/>
      <c r="M285" s="244"/>
      <c r="N285" s="155"/>
      <c r="O285" s="345">
        <f t="shared" si="174"/>
      </c>
      <c r="P285" s="345">
        <f t="shared" si="160"/>
      </c>
      <c r="Q285" s="508"/>
      <c r="R285" s="346"/>
      <c r="S285" s="347"/>
      <c r="T285" s="348"/>
      <c r="U285" s="347"/>
      <c r="V285" s="348"/>
      <c r="W285" s="347"/>
      <c r="X285" s="348"/>
      <c r="Y285" s="347"/>
      <c r="Z285" s="348"/>
      <c r="AA285" s="340" t="e">
        <f t="shared" si="161"/>
        <v>#N/A</v>
      </c>
      <c r="AB285" s="339">
        <f t="shared" si="175"/>
      </c>
      <c r="AC285" s="339">
        <f t="shared" si="176"/>
      </c>
      <c r="AD285" s="255">
        <f t="shared" si="177"/>
      </c>
      <c r="AE285" s="256">
        <f t="shared" si="178"/>
      </c>
      <c r="AF285" s="256">
        <f t="shared" si="179"/>
      </c>
      <c r="AG285" s="255">
        <f t="shared" si="180"/>
      </c>
      <c r="AH285" s="255">
        <f t="shared" si="162"/>
      </c>
      <c r="AI285" s="255">
        <f t="shared" si="181"/>
      </c>
      <c r="AJ285" s="255">
        <f t="shared" si="182"/>
      </c>
      <c r="AK285" s="255">
        <f t="shared" si="163"/>
      </c>
      <c r="AL285" s="255">
        <f t="shared" si="164"/>
      </c>
      <c r="AM285" s="120">
        <f ca="1" t="shared" si="187"/>
        <v>0</v>
      </c>
      <c r="AN285" s="120" t="e">
        <f t="shared" si="165"/>
        <v>#N/A</v>
      </c>
      <c r="AO285" s="120">
        <f>ROWS($AO$4:AO285)-1</f>
        <v>281</v>
      </c>
      <c r="AP285" s="255" t="e">
        <f t="shared" si="188"/>
        <v>#N/A</v>
      </c>
      <c r="AQ285" s="120" t="e">
        <f t="shared" si="166"/>
        <v>#N/A</v>
      </c>
      <c r="AR285" s="120" t="e">
        <f t="shared" si="159"/>
        <v>#N/A</v>
      </c>
      <c r="AS285" s="121">
        <f t="shared" si="184"/>
        <v>1</v>
      </c>
      <c r="AT285" s="120" t="str">
        <f t="shared" si="185"/>
        <v> </v>
      </c>
      <c r="AU285" s="120" t="str">
        <f t="shared" si="186"/>
        <v> </v>
      </c>
      <c r="AV285" s="120" t="e">
        <f t="shared" si="167"/>
        <v>#N/A</v>
      </c>
      <c r="AW285" s="120" t="e">
        <f t="shared" si="168"/>
        <v>#N/A</v>
      </c>
      <c r="AX285" s="120">
        <f t="shared" si="169"/>
      </c>
      <c r="AY285" s="120" t="e">
        <f t="shared" si="170"/>
        <v>#N/A</v>
      </c>
      <c r="AZ285" s="120" t="e">
        <f>VLOOKUP(AY285,'排出係数表'!$A$4:$C$202,2,FALSE)</f>
        <v>#N/A</v>
      </c>
      <c r="BA285" s="120" t="e">
        <f t="shared" si="171"/>
        <v>#N/A</v>
      </c>
      <c r="BB285" s="120" t="e">
        <f>VLOOKUP(AY285,'排出係数表'!$A$4:$C$202,3,FALSE)</f>
        <v>#N/A</v>
      </c>
      <c r="BC285" s="120" t="e">
        <f t="shared" si="172"/>
        <v>#N/A</v>
      </c>
      <c r="BD285" s="120">
        <f t="shared" si="183"/>
        <v>1</v>
      </c>
      <c r="BE285" s="122">
        <f t="shared" si="173"/>
      </c>
      <c r="BF285" s="123" t="e">
        <f t="shared" si="192"/>
        <v>#VALUE!</v>
      </c>
      <c r="BG285" s="122">
        <f t="shared" si="189"/>
      </c>
      <c r="BH285" s="120" t="e">
        <f t="shared" si="190"/>
        <v>#VALUE!</v>
      </c>
      <c r="BI285" s="120" t="e">
        <f t="shared" si="191"/>
        <v>#VALUE!</v>
      </c>
      <c r="BJ285" s="122" t="e">
        <f>VLOOKUP(AY285,'排出係数表'!$A$4:$D$202,4)</f>
        <v>#N/A</v>
      </c>
      <c r="BK285" s="257">
        <f t="shared" si="193"/>
      </c>
    </row>
    <row r="286" spans="1:63" s="124" customFormat="1" ht="13.5" customHeight="1">
      <c r="A286" s="120"/>
      <c r="B286" s="120"/>
      <c r="C286" s="155"/>
      <c r="D286" s="155"/>
      <c r="E286" s="155"/>
      <c r="F286" s="155"/>
      <c r="G286" s="156"/>
      <c r="H286" s="157"/>
      <c r="I286" s="155"/>
      <c r="J286" s="155"/>
      <c r="K286" s="158"/>
      <c r="L286" s="159"/>
      <c r="M286" s="244"/>
      <c r="N286" s="155"/>
      <c r="O286" s="345">
        <f t="shared" si="174"/>
      </c>
      <c r="P286" s="345">
        <f t="shared" si="160"/>
      </c>
      <c r="Q286" s="508"/>
      <c r="R286" s="346"/>
      <c r="S286" s="347"/>
      <c r="T286" s="348"/>
      <c r="U286" s="347"/>
      <c r="V286" s="348"/>
      <c r="W286" s="347"/>
      <c r="X286" s="348"/>
      <c r="Y286" s="347"/>
      <c r="Z286" s="348"/>
      <c r="AA286" s="340" t="e">
        <f t="shared" si="161"/>
        <v>#N/A</v>
      </c>
      <c r="AB286" s="339">
        <f t="shared" si="175"/>
      </c>
      <c r="AC286" s="339">
        <f t="shared" si="176"/>
      </c>
      <c r="AD286" s="255">
        <f t="shared" si="177"/>
      </c>
      <c r="AE286" s="256">
        <f t="shared" si="178"/>
      </c>
      <c r="AF286" s="256">
        <f t="shared" si="179"/>
      </c>
      <c r="AG286" s="255">
        <f t="shared" si="180"/>
      </c>
      <c r="AH286" s="255">
        <f t="shared" si="162"/>
      </c>
      <c r="AI286" s="255">
        <f t="shared" si="181"/>
      </c>
      <c r="AJ286" s="255">
        <f t="shared" si="182"/>
      </c>
      <c r="AK286" s="255">
        <f t="shared" si="163"/>
      </c>
      <c r="AL286" s="255">
        <f t="shared" si="164"/>
      </c>
      <c r="AM286" s="120">
        <f ca="1" t="shared" si="187"/>
        <v>0</v>
      </c>
      <c r="AN286" s="120" t="e">
        <f t="shared" si="165"/>
        <v>#N/A</v>
      </c>
      <c r="AO286" s="120">
        <f>ROWS($AO$4:AO286)-1</f>
        <v>282</v>
      </c>
      <c r="AP286" s="255" t="e">
        <f t="shared" si="188"/>
        <v>#N/A</v>
      </c>
      <c r="AQ286" s="120" t="e">
        <f t="shared" si="166"/>
        <v>#N/A</v>
      </c>
      <c r="AR286" s="120" t="e">
        <f t="shared" si="159"/>
        <v>#N/A</v>
      </c>
      <c r="AS286" s="121">
        <f t="shared" si="184"/>
        <v>1</v>
      </c>
      <c r="AT286" s="120" t="str">
        <f t="shared" si="185"/>
        <v> </v>
      </c>
      <c r="AU286" s="120" t="str">
        <f t="shared" si="186"/>
        <v> </v>
      </c>
      <c r="AV286" s="120" t="e">
        <f t="shared" si="167"/>
        <v>#N/A</v>
      </c>
      <c r="AW286" s="120" t="e">
        <f t="shared" si="168"/>
        <v>#N/A</v>
      </c>
      <c r="AX286" s="120">
        <f t="shared" si="169"/>
      </c>
      <c r="AY286" s="120" t="e">
        <f t="shared" si="170"/>
        <v>#N/A</v>
      </c>
      <c r="AZ286" s="120" t="e">
        <f>VLOOKUP(AY286,'排出係数表'!$A$4:$C$202,2,FALSE)</f>
        <v>#N/A</v>
      </c>
      <c r="BA286" s="120" t="e">
        <f t="shared" si="171"/>
        <v>#N/A</v>
      </c>
      <c r="BB286" s="120" t="e">
        <f>VLOOKUP(AY286,'排出係数表'!$A$4:$C$202,3,FALSE)</f>
        <v>#N/A</v>
      </c>
      <c r="BC286" s="120" t="e">
        <f t="shared" si="172"/>
        <v>#N/A</v>
      </c>
      <c r="BD286" s="120">
        <f t="shared" si="183"/>
        <v>1</v>
      </c>
      <c r="BE286" s="122">
        <f t="shared" si="173"/>
      </c>
      <c r="BF286" s="123" t="e">
        <f t="shared" si="192"/>
        <v>#VALUE!</v>
      </c>
      <c r="BG286" s="122">
        <f t="shared" si="189"/>
      </c>
      <c r="BH286" s="120" t="e">
        <f t="shared" si="190"/>
        <v>#VALUE!</v>
      </c>
      <c r="BI286" s="120" t="e">
        <f t="shared" si="191"/>
        <v>#VALUE!</v>
      </c>
      <c r="BJ286" s="122" t="e">
        <f>VLOOKUP(AY286,'排出係数表'!$A$4:$D$202,4)</f>
        <v>#N/A</v>
      </c>
      <c r="BK286" s="257">
        <f t="shared" si="193"/>
      </c>
    </row>
    <row r="287" spans="1:63" s="124" customFormat="1" ht="13.5" customHeight="1">
      <c r="A287" s="120"/>
      <c r="B287" s="120"/>
      <c r="C287" s="155"/>
      <c r="D287" s="155"/>
      <c r="E287" s="155"/>
      <c r="F287" s="155"/>
      <c r="G287" s="156"/>
      <c r="H287" s="157"/>
      <c r="I287" s="155"/>
      <c r="J287" s="155"/>
      <c r="K287" s="158"/>
      <c r="L287" s="159"/>
      <c r="M287" s="244"/>
      <c r="N287" s="155"/>
      <c r="O287" s="345">
        <f t="shared" si="174"/>
      </c>
      <c r="P287" s="345">
        <f t="shared" si="160"/>
      </c>
      <c r="Q287" s="508"/>
      <c r="R287" s="346"/>
      <c r="S287" s="347"/>
      <c r="T287" s="348"/>
      <c r="U287" s="347"/>
      <c r="V287" s="348"/>
      <c r="W287" s="347"/>
      <c r="X287" s="348"/>
      <c r="Y287" s="347"/>
      <c r="Z287" s="348"/>
      <c r="AA287" s="340" t="e">
        <f t="shared" si="161"/>
        <v>#N/A</v>
      </c>
      <c r="AB287" s="339">
        <f t="shared" si="175"/>
      </c>
      <c r="AC287" s="339">
        <f t="shared" si="176"/>
      </c>
      <c r="AD287" s="255">
        <f t="shared" si="177"/>
      </c>
      <c r="AE287" s="256">
        <f t="shared" si="178"/>
      </c>
      <c r="AF287" s="256">
        <f t="shared" si="179"/>
      </c>
      <c r="AG287" s="255">
        <f t="shared" si="180"/>
      </c>
      <c r="AH287" s="255">
        <f t="shared" si="162"/>
      </c>
      <c r="AI287" s="255">
        <f t="shared" si="181"/>
      </c>
      <c r="AJ287" s="255">
        <f t="shared" si="182"/>
      </c>
      <c r="AK287" s="255">
        <f t="shared" si="163"/>
      </c>
      <c r="AL287" s="255">
        <f t="shared" si="164"/>
      </c>
      <c r="AM287" s="120">
        <f ca="1" t="shared" si="187"/>
        <v>0</v>
      </c>
      <c r="AN287" s="120" t="e">
        <f t="shared" si="165"/>
        <v>#N/A</v>
      </c>
      <c r="AO287" s="120">
        <f>ROWS($AO$4:AO287)-1</f>
        <v>283</v>
      </c>
      <c r="AP287" s="255" t="e">
        <f t="shared" si="188"/>
        <v>#N/A</v>
      </c>
      <c r="AQ287" s="120" t="e">
        <f t="shared" si="166"/>
        <v>#N/A</v>
      </c>
      <c r="AR287" s="120" t="e">
        <f t="shared" si="159"/>
        <v>#N/A</v>
      </c>
      <c r="AS287" s="121">
        <f t="shared" si="184"/>
        <v>1</v>
      </c>
      <c r="AT287" s="120" t="str">
        <f t="shared" si="185"/>
        <v> </v>
      </c>
      <c r="AU287" s="120" t="str">
        <f t="shared" si="186"/>
        <v> </v>
      </c>
      <c r="AV287" s="120" t="e">
        <f t="shared" si="167"/>
        <v>#N/A</v>
      </c>
      <c r="AW287" s="120" t="e">
        <f t="shared" si="168"/>
        <v>#N/A</v>
      </c>
      <c r="AX287" s="120">
        <f t="shared" si="169"/>
      </c>
      <c r="AY287" s="120" t="e">
        <f t="shared" si="170"/>
        <v>#N/A</v>
      </c>
      <c r="AZ287" s="120" t="e">
        <f>VLOOKUP(AY287,'排出係数表'!$A$4:$C$202,2,FALSE)</f>
        <v>#N/A</v>
      </c>
      <c r="BA287" s="120" t="e">
        <f t="shared" si="171"/>
        <v>#N/A</v>
      </c>
      <c r="BB287" s="120" t="e">
        <f>VLOOKUP(AY287,'排出係数表'!$A$4:$C$202,3,FALSE)</f>
        <v>#N/A</v>
      </c>
      <c r="BC287" s="120" t="e">
        <f t="shared" si="172"/>
        <v>#N/A</v>
      </c>
      <c r="BD287" s="120">
        <f t="shared" si="183"/>
        <v>1</v>
      </c>
      <c r="BE287" s="122">
        <f t="shared" si="173"/>
      </c>
      <c r="BF287" s="123" t="e">
        <f t="shared" si="192"/>
        <v>#VALUE!</v>
      </c>
      <c r="BG287" s="122">
        <f t="shared" si="189"/>
      </c>
      <c r="BH287" s="120" t="e">
        <f t="shared" si="190"/>
        <v>#VALUE!</v>
      </c>
      <c r="BI287" s="120" t="e">
        <f t="shared" si="191"/>
        <v>#VALUE!</v>
      </c>
      <c r="BJ287" s="122" t="e">
        <f>VLOOKUP(AY287,'排出係数表'!$A$4:$D$202,4)</f>
        <v>#N/A</v>
      </c>
      <c r="BK287" s="257">
        <f t="shared" si="193"/>
      </c>
    </row>
    <row r="288" spans="1:63" s="124" customFormat="1" ht="13.5" customHeight="1">
      <c r="A288" s="120"/>
      <c r="B288" s="120"/>
      <c r="C288" s="155"/>
      <c r="D288" s="155"/>
      <c r="E288" s="155"/>
      <c r="F288" s="155"/>
      <c r="G288" s="156"/>
      <c r="H288" s="157"/>
      <c r="I288" s="155"/>
      <c r="J288" s="155"/>
      <c r="K288" s="158"/>
      <c r="L288" s="159"/>
      <c r="M288" s="244"/>
      <c r="N288" s="155"/>
      <c r="O288" s="345">
        <f t="shared" si="174"/>
      </c>
      <c r="P288" s="345">
        <f t="shared" si="160"/>
      </c>
      <c r="Q288" s="508"/>
      <c r="R288" s="346"/>
      <c r="S288" s="347"/>
      <c r="T288" s="348"/>
      <c r="U288" s="347"/>
      <c r="V288" s="348"/>
      <c r="W288" s="347"/>
      <c r="X288" s="348"/>
      <c r="Y288" s="347"/>
      <c r="Z288" s="348"/>
      <c r="AA288" s="340" t="e">
        <f t="shared" si="161"/>
        <v>#N/A</v>
      </c>
      <c r="AB288" s="339">
        <f t="shared" si="175"/>
      </c>
      <c r="AC288" s="339">
        <f t="shared" si="176"/>
      </c>
      <c r="AD288" s="255">
        <f t="shared" si="177"/>
      </c>
      <c r="AE288" s="256">
        <f t="shared" si="178"/>
      </c>
      <c r="AF288" s="256">
        <f t="shared" si="179"/>
      </c>
      <c r="AG288" s="255">
        <f t="shared" si="180"/>
      </c>
      <c r="AH288" s="255">
        <f t="shared" si="162"/>
      </c>
      <c r="AI288" s="255">
        <f t="shared" si="181"/>
      </c>
      <c r="AJ288" s="255">
        <f t="shared" si="182"/>
      </c>
      <c r="AK288" s="255">
        <f t="shared" si="163"/>
      </c>
      <c r="AL288" s="255">
        <f t="shared" si="164"/>
      </c>
      <c r="AM288" s="120">
        <f ca="1" t="shared" si="187"/>
        <v>0</v>
      </c>
      <c r="AN288" s="120" t="e">
        <f t="shared" si="165"/>
        <v>#N/A</v>
      </c>
      <c r="AO288" s="120">
        <f>ROWS($AO$4:AO288)-1</f>
        <v>284</v>
      </c>
      <c r="AP288" s="255" t="e">
        <f t="shared" si="188"/>
        <v>#N/A</v>
      </c>
      <c r="AQ288" s="120" t="e">
        <f t="shared" si="166"/>
        <v>#N/A</v>
      </c>
      <c r="AR288" s="120" t="e">
        <f t="shared" si="159"/>
        <v>#N/A</v>
      </c>
      <c r="AS288" s="121">
        <f t="shared" si="184"/>
        <v>1</v>
      </c>
      <c r="AT288" s="120" t="str">
        <f t="shared" si="185"/>
        <v> </v>
      </c>
      <c r="AU288" s="120" t="str">
        <f t="shared" si="186"/>
        <v> </v>
      </c>
      <c r="AV288" s="120" t="e">
        <f t="shared" si="167"/>
        <v>#N/A</v>
      </c>
      <c r="AW288" s="120" t="e">
        <f t="shared" si="168"/>
        <v>#N/A</v>
      </c>
      <c r="AX288" s="120">
        <f t="shared" si="169"/>
      </c>
      <c r="AY288" s="120" t="e">
        <f t="shared" si="170"/>
        <v>#N/A</v>
      </c>
      <c r="AZ288" s="120" t="e">
        <f>VLOOKUP(AY288,'排出係数表'!$A$4:$C$202,2,FALSE)</f>
        <v>#N/A</v>
      </c>
      <c r="BA288" s="120" t="e">
        <f t="shared" si="171"/>
        <v>#N/A</v>
      </c>
      <c r="BB288" s="120" t="e">
        <f>VLOOKUP(AY288,'排出係数表'!$A$4:$C$202,3,FALSE)</f>
        <v>#N/A</v>
      </c>
      <c r="BC288" s="120" t="e">
        <f t="shared" si="172"/>
        <v>#N/A</v>
      </c>
      <c r="BD288" s="120">
        <f t="shared" si="183"/>
        <v>1</v>
      </c>
      <c r="BE288" s="122">
        <f t="shared" si="173"/>
      </c>
      <c r="BF288" s="123" t="e">
        <f t="shared" si="192"/>
        <v>#VALUE!</v>
      </c>
      <c r="BG288" s="122">
        <f t="shared" si="189"/>
      </c>
      <c r="BH288" s="120" t="e">
        <f t="shared" si="190"/>
        <v>#VALUE!</v>
      </c>
      <c r="BI288" s="120" t="e">
        <f t="shared" si="191"/>
        <v>#VALUE!</v>
      </c>
      <c r="BJ288" s="122" t="e">
        <f>VLOOKUP(AY288,'排出係数表'!$A$4:$D$202,4)</f>
        <v>#N/A</v>
      </c>
      <c r="BK288" s="257">
        <f t="shared" si="193"/>
      </c>
    </row>
    <row r="289" spans="1:63" s="124" customFormat="1" ht="13.5" customHeight="1">
      <c r="A289" s="120"/>
      <c r="B289" s="120"/>
      <c r="C289" s="155"/>
      <c r="D289" s="155"/>
      <c r="E289" s="155"/>
      <c r="F289" s="155"/>
      <c r="G289" s="156"/>
      <c r="H289" s="157"/>
      <c r="I289" s="155"/>
      <c r="J289" s="155"/>
      <c r="K289" s="158"/>
      <c r="L289" s="159"/>
      <c r="M289" s="244"/>
      <c r="N289" s="155"/>
      <c r="O289" s="345">
        <f t="shared" si="174"/>
      </c>
      <c r="P289" s="345">
        <f t="shared" si="160"/>
      </c>
      <c r="Q289" s="508"/>
      <c r="R289" s="346"/>
      <c r="S289" s="347"/>
      <c r="T289" s="348"/>
      <c r="U289" s="347"/>
      <c r="V289" s="348"/>
      <c r="W289" s="347"/>
      <c r="X289" s="348"/>
      <c r="Y289" s="347"/>
      <c r="Z289" s="348"/>
      <c r="AA289" s="340" t="e">
        <f t="shared" si="161"/>
        <v>#N/A</v>
      </c>
      <c r="AB289" s="339">
        <f t="shared" si="175"/>
      </c>
      <c r="AC289" s="339">
        <f t="shared" si="176"/>
      </c>
      <c r="AD289" s="255">
        <f t="shared" si="177"/>
      </c>
      <c r="AE289" s="256">
        <f t="shared" si="178"/>
      </c>
      <c r="AF289" s="256">
        <f t="shared" si="179"/>
      </c>
      <c r="AG289" s="255">
        <f t="shared" si="180"/>
      </c>
      <c r="AH289" s="255">
        <f t="shared" si="162"/>
      </c>
      <c r="AI289" s="255">
        <f t="shared" si="181"/>
      </c>
      <c r="AJ289" s="255">
        <f t="shared" si="182"/>
      </c>
      <c r="AK289" s="255">
        <f t="shared" si="163"/>
      </c>
      <c r="AL289" s="255">
        <f t="shared" si="164"/>
      </c>
      <c r="AM289" s="120">
        <f ca="1" t="shared" si="187"/>
        <v>0</v>
      </c>
      <c r="AN289" s="120" t="e">
        <f t="shared" si="165"/>
        <v>#N/A</v>
      </c>
      <c r="AO289" s="120">
        <f>ROWS($AO$4:AO289)-1</f>
        <v>285</v>
      </c>
      <c r="AP289" s="255" t="e">
        <f t="shared" si="188"/>
        <v>#N/A</v>
      </c>
      <c r="AQ289" s="120" t="e">
        <f t="shared" si="166"/>
        <v>#N/A</v>
      </c>
      <c r="AR289" s="120" t="e">
        <f t="shared" si="159"/>
        <v>#N/A</v>
      </c>
      <c r="AS289" s="121">
        <f t="shared" si="184"/>
        <v>1</v>
      </c>
      <c r="AT289" s="120" t="str">
        <f t="shared" si="185"/>
        <v> </v>
      </c>
      <c r="AU289" s="120" t="str">
        <f t="shared" si="186"/>
        <v> </v>
      </c>
      <c r="AV289" s="120" t="e">
        <f t="shared" si="167"/>
        <v>#N/A</v>
      </c>
      <c r="AW289" s="120" t="e">
        <f t="shared" si="168"/>
        <v>#N/A</v>
      </c>
      <c r="AX289" s="120">
        <f t="shared" si="169"/>
      </c>
      <c r="AY289" s="120" t="e">
        <f t="shared" si="170"/>
        <v>#N/A</v>
      </c>
      <c r="AZ289" s="120" t="e">
        <f>VLOOKUP(AY289,'排出係数表'!$A$4:$C$202,2,FALSE)</f>
        <v>#N/A</v>
      </c>
      <c r="BA289" s="120" t="e">
        <f t="shared" si="171"/>
        <v>#N/A</v>
      </c>
      <c r="BB289" s="120" t="e">
        <f>VLOOKUP(AY289,'排出係数表'!$A$4:$C$202,3,FALSE)</f>
        <v>#N/A</v>
      </c>
      <c r="BC289" s="120" t="e">
        <f t="shared" si="172"/>
        <v>#N/A</v>
      </c>
      <c r="BD289" s="120">
        <f t="shared" si="183"/>
        <v>1</v>
      </c>
      <c r="BE289" s="122">
        <f t="shared" si="173"/>
      </c>
      <c r="BF289" s="123" t="e">
        <f t="shared" si="192"/>
        <v>#VALUE!</v>
      </c>
      <c r="BG289" s="122">
        <f t="shared" si="189"/>
      </c>
      <c r="BH289" s="120" t="e">
        <f t="shared" si="190"/>
        <v>#VALUE!</v>
      </c>
      <c r="BI289" s="120" t="e">
        <f t="shared" si="191"/>
        <v>#VALUE!</v>
      </c>
      <c r="BJ289" s="122" t="e">
        <f>VLOOKUP(AY289,'排出係数表'!$A$4:$D$202,4)</f>
        <v>#N/A</v>
      </c>
      <c r="BK289" s="257">
        <f t="shared" si="193"/>
      </c>
    </row>
    <row r="290" spans="1:63" s="124" customFormat="1" ht="13.5" customHeight="1">
      <c r="A290" s="120"/>
      <c r="B290" s="120"/>
      <c r="C290" s="155"/>
      <c r="D290" s="155"/>
      <c r="E290" s="155"/>
      <c r="F290" s="155"/>
      <c r="G290" s="156"/>
      <c r="H290" s="157"/>
      <c r="I290" s="155"/>
      <c r="J290" s="155"/>
      <c r="K290" s="158"/>
      <c r="L290" s="159"/>
      <c r="M290" s="244"/>
      <c r="N290" s="155"/>
      <c r="O290" s="345">
        <f t="shared" si="174"/>
      </c>
      <c r="P290" s="345">
        <f t="shared" si="160"/>
      </c>
      <c r="Q290" s="508"/>
      <c r="R290" s="346"/>
      <c r="S290" s="347"/>
      <c r="T290" s="348"/>
      <c r="U290" s="347"/>
      <c r="V290" s="348"/>
      <c r="W290" s="347"/>
      <c r="X290" s="348"/>
      <c r="Y290" s="347"/>
      <c r="Z290" s="348"/>
      <c r="AA290" s="340" t="e">
        <f t="shared" si="161"/>
        <v>#N/A</v>
      </c>
      <c r="AB290" s="339">
        <f t="shared" si="175"/>
      </c>
      <c r="AC290" s="339">
        <f t="shared" si="176"/>
      </c>
      <c r="AD290" s="255">
        <f t="shared" si="177"/>
      </c>
      <c r="AE290" s="256">
        <f t="shared" si="178"/>
      </c>
      <c r="AF290" s="256">
        <f t="shared" si="179"/>
      </c>
      <c r="AG290" s="255">
        <f t="shared" si="180"/>
      </c>
      <c r="AH290" s="255">
        <f t="shared" si="162"/>
      </c>
      <c r="AI290" s="255">
        <f t="shared" si="181"/>
      </c>
      <c r="AJ290" s="255">
        <f t="shared" si="182"/>
      </c>
      <c r="AK290" s="255">
        <f t="shared" si="163"/>
      </c>
      <c r="AL290" s="255">
        <f t="shared" si="164"/>
      </c>
      <c r="AM290" s="120">
        <f ca="1" t="shared" si="187"/>
        <v>0</v>
      </c>
      <c r="AN290" s="120" t="e">
        <f t="shared" si="165"/>
        <v>#N/A</v>
      </c>
      <c r="AO290" s="120">
        <f>ROWS($AO$4:AO290)-1</f>
        <v>286</v>
      </c>
      <c r="AP290" s="255" t="e">
        <f t="shared" si="188"/>
        <v>#N/A</v>
      </c>
      <c r="AQ290" s="120" t="e">
        <f t="shared" si="166"/>
        <v>#N/A</v>
      </c>
      <c r="AR290" s="120" t="e">
        <f t="shared" si="159"/>
        <v>#N/A</v>
      </c>
      <c r="AS290" s="121">
        <f t="shared" si="184"/>
        <v>1</v>
      </c>
      <c r="AT290" s="120" t="str">
        <f t="shared" si="185"/>
        <v> </v>
      </c>
      <c r="AU290" s="120" t="str">
        <f t="shared" si="186"/>
        <v> </v>
      </c>
      <c r="AV290" s="120" t="e">
        <f t="shared" si="167"/>
        <v>#N/A</v>
      </c>
      <c r="AW290" s="120" t="e">
        <f t="shared" si="168"/>
        <v>#N/A</v>
      </c>
      <c r="AX290" s="120">
        <f t="shared" si="169"/>
      </c>
      <c r="AY290" s="120" t="e">
        <f t="shared" si="170"/>
        <v>#N/A</v>
      </c>
      <c r="AZ290" s="120" t="e">
        <f>VLOOKUP(AY290,'排出係数表'!$A$4:$C$202,2,FALSE)</f>
        <v>#N/A</v>
      </c>
      <c r="BA290" s="120" t="e">
        <f t="shared" si="171"/>
        <v>#N/A</v>
      </c>
      <c r="BB290" s="120" t="e">
        <f>VLOOKUP(AY290,'排出係数表'!$A$4:$C$202,3,FALSE)</f>
        <v>#N/A</v>
      </c>
      <c r="BC290" s="120" t="e">
        <f t="shared" si="172"/>
        <v>#N/A</v>
      </c>
      <c r="BD290" s="120">
        <f t="shared" si="183"/>
        <v>1</v>
      </c>
      <c r="BE290" s="122">
        <f t="shared" si="173"/>
      </c>
      <c r="BF290" s="123" t="e">
        <f t="shared" si="192"/>
        <v>#VALUE!</v>
      </c>
      <c r="BG290" s="122">
        <f t="shared" si="189"/>
      </c>
      <c r="BH290" s="120" t="e">
        <f t="shared" si="190"/>
        <v>#VALUE!</v>
      </c>
      <c r="BI290" s="120" t="e">
        <f t="shared" si="191"/>
        <v>#VALUE!</v>
      </c>
      <c r="BJ290" s="122" t="e">
        <f>VLOOKUP(AY290,'排出係数表'!$A$4:$D$202,4)</f>
        <v>#N/A</v>
      </c>
      <c r="BK290" s="257">
        <f t="shared" si="193"/>
      </c>
    </row>
    <row r="291" spans="1:63" s="124" customFormat="1" ht="13.5" customHeight="1">
      <c r="A291" s="120"/>
      <c r="B291" s="120"/>
      <c r="C291" s="155"/>
      <c r="D291" s="155"/>
      <c r="E291" s="155"/>
      <c r="F291" s="155"/>
      <c r="G291" s="156"/>
      <c r="H291" s="157"/>
      <c r="I291" s="155"/>
      <c r="J291" s="155"/>
      <c r="K291" s="158"/>
      <c r="L291" s="159"/>
      <c r="M291" s="244"/>
      <c r="N291" s="155"/>
      <c r="O291" s="345">
        <f t="shared" si="174"/>
      </c>
      <c r="P291" s="345">
        <f t="shared" si="160"/>
      </c>
      <c r="Q291" s="508"/>
      <c r="R291" s="346"/>
      <c r="S291" s="347"/>
      <c r="T291" s="348"/>
      <c r="U291" s="347"/>
      <c r="V291" s="348"/>
      <c r="W291" s="347"/>
      <c r="X291" s="348"/>
      <c r="Y291" s="347"/>
      <c r="Z291" s="348"/>
      <c r="AA291" s="340" t="e">
        <f t="shared" si="161"/>
        <v>#N/A</v>
      </c>
      <c r="AB291" s="339">
        <f t="shared" si="175"/>
      </c>
      <c r="AC291" s="339">
        <f t="shared" si="176"/>
      </c>
      <c r="AD291" s="255">
        <f t="shared" si="177"/>
      </c>
      <c r="AE291" s="256">
        <f t="shared" si="178"/>
      </c>
      <c r="AF291" s="256">
        <f t="shared" si="179"/>
      </c>
      <c r="AG291" s="255">
        <f t="shared" si="180"/>
      </c>
      <c r="AH291" s="255">
        <f t="shared" si="162"/>
      </c>
      <c r="AI291" s="255">
        <f t="shared" si="181"/>
      </c>
      <c r="AJ291" s="255">
        <f t="shared" si="182"/>
      </c>
      <c r="AK291" s="255">
        <f t="shared" si="163"/>
      </c>
      <c r="AL291" s="255">
        <f t="shared" si="164"/>
      </c>
      <c r="AM291" s="120">
        <f ca="1" t="shared" si="187"/>
        <v>0</v>
      </c>
      <c r="AN291" s="120" t="e">
        <f t="shared" si="165"/>
        <v>#N/A</v>
      </c>
      <c r="AO291" s="120">
        <f>ROWS($AO$4:AO291)-1</f>
        <v>287</v>
      </c>
      <c r="AP291" s="255" t="e">
        <f t="shared" si="188"/>
        <v>#N/A</v>
      </c>
      <c r="AQ291" s="120" t="e">
        <f t="shared" si="166"/>
        <v>#N/A</v>
      </c>
      <c r="AR291" s="120" t="e">
        <f t="shared" si="159"/>
        <v>#N/A</v>
      </c>
      <c r="AS291" s="121">
        <f t="shared" si="184"/>
        <v>1</v>
      </c>
      <c r="AT291" s="120" t="str">
        <f t="shared" si="185"/>
        <v> </v>
      </c>
      <c r="AU291" s="120" t="str">
        <f t="shared" si="186"/>
        <v> </v>
      </c>
      <c r="AV291" s="120" t="e">
        <f t="shared" si="167"/>
        <v>#N/A</v>
      </c>
      <c r="AW291" s="120" t="e">
        <f t="shared" si="168"/>
        <v>#N/A</v>
      </c>
      <c r="AX291" s="120">
        <f t="shared" si="169"/>
      </c>
      <c r="AY291" s="120" t="e">
        <f t="shared" si="170"/>
        <v>#N/A</v>
      </c>
      <c r="AZ291" s="120" t="e">
        <f>VLOOKUP(AY291,'排出係数表'!$A$4:$C$202,2,FALSE)</f>
        <v>#N/A</v>
      </c>
      <c r="BA291" s="120" t="e">
        <f t="shared" si="171"/>
        <v>#N/A</v>
      </c>
      <c r="BB291" s="120" t="e">
        <f>VLOOKUP(AY291,'排出係数表'!$A$4:$C$202,3,FALSE)</f>
        <v>#N/A</v>
      </c>
      <c r="BC291" s="120" t="e">
        <f t="shared" si="172"/>
        <v>#N/A</v>
      </c>
      <c r="BD291" s="120">
        <f t="shared" si="183"/>
        <v>1</v>
      </c>
      <c r="BE291" s="122">
        <f t="shared" si="173"/>
      </c>
      <c r="BF291" s="123" t="e">
        <f t="shared" si="192"/>
        <v>#VALUE!</v>
      </c>
      <c r="BG291" s="122">
        <f t="shared" si="189"/>
      </c>
      <c r="BH291" s="120" t="e">
        <f t="shared" si="190"/>
        <v>#VALUE!</v>
      </c>
      <c r="BI291" s="120" t="e">
        <f t="shared" si="191"/>
        <v>#VALUE!</v>
      </c>
      <c r="BJ291" s="122" t="e">
        <f>VLOOKUP(AY291,'排出係数表'!$A$4:$D$202,4)</f>
        <v>#N/A</v>
      </c>
      <c r="BK291" s="257">
        <f t="shared" si="193"/>
      </c>
    </row>
    <row r="292" spans="1:63" s="124" customFormat="1" ht="13.5" customHeight="1">
      <c r="A292" s="120"/>
      <c r="B292" s="120"/>
      <c r="C292" s="155"/>
      <c r="D292" s="155"/>
      <c r="E292" s="155"/>
      <c r="F292" s="155"/>
      <c r="G292" s="156"/>
      <c r="H292" s="157"/>
      <c r="I292" s="155"/>
      <c r="J292" s="155"/>
      <c r="K292" s="158"/>
      <c r="L292" s="159"/>
      <c r="M292" s="244"/>
      <c r="N292" s="155"/>
      <c r="O292" s="345">
        <f t="shared" si="174"/>
      </c>
      <c r="P292" s="345">
        <f t="shared" si="160"/>
      </c>
      <c r="Q292" s="508"/>
      <c r="R292" s="346"/>
      <c r="S292" s="347"/>
      <c r="T292" s="348"/>
      <c r="U292" s="347"/>
      <c r="V292" s="348"/>
      <c r="W292" s="347"/>
      <c r="X292" s="348"/>
      <c r="Y292" s="347"/>
      <c r="Z292" s="348"/>
      <c r="AA292" s="340" t="e">
        <f t="shared" si="161"/>
        <v>#N/A</v>
      </c>
      <c r="AB292" s="339">
        <f t="shared" si="175"/>
      </c>
      <c r="AC292" s="339">
        <f t="shared" si="176"/>
      </c>
      <c r="AD292" s="255">
        <f t="shared" si="177"/>
      </c>
      <c r="AE292" s="256">
        <f t="shared" si="178"/>
      </c>
      <c r="AF292" s="256">
        <f t="shared" si="179"/>
      </c>
      <c r="AG292" s="255">
        <f t="shared" si="180"/>
      </c>
      <c r="AH292" s="255">
        <f t="shared" si="162"/>
      </c>
      <c r="AI292" s="255">
        <f t="shared" si="181"/>
      </c>
      <c r="AJ292" s="255">
        <f t="shared" si="182"/>
      </c>
      <c r="AK292" s="255">
        <f t="shared" si="163"/>
      </c>
      <c r="AL292" s="255">
        <f t="shared" si="164"/>
      </c>
      <c r="AM292" s="120">
        <f ca="1" t="shared" si="187"/>
        <v>0</v>
      </c>
      <c r="AN292" s="120" t="e">
        <f t="shared" si="165"/>
        <v>#N/A</v>
      </c>
      <c r="AO292" s="120">
        <f>ROWS($AO$4:AO292)-1</f>
        <v>288</v>
      </c>
      <c r="AP292" s="255" t="e">
        <f t="shared" si="188"/>
        <v>#N/A</v>
      </c>
      <c r="AQ292" s="120" t="e">
        <f t="shared" si="166"/>
        <v>#N/A</v>
      </c>
      <c r="AR292" s="120" t="e">
        <f t="shared" si="159"/>
        <v>#N/A</v>
      </c>
      <c r="AS292" s="121">
        <f t="shared" si="184"/>
        <v>1</v>
      </c>
      <c r="AT292" s="120" t="str">
        <f t="shared" si="185"/>
        <v> </v>
      </c>
      <c r="AU292" s="120" t="str">
        <f t="shared" si="186"/>
        <v> </v>
      </c>
      <c r="AV292" s="120" t="e">
        <f t="shared" si="167"/>
        <v>#N/A</v>
      </c>
      <c r="AW292" s="120" t="e">
        <f t="shared" si="168"/>
        <v>#N/A</v>
      </c>
      <c r="AX292" s="120">
        <f t="shared" si="169"/>
      </c>
      <c r="AY292" s="120" t="e">
        <f t="shared" si="170"/>
        <v>#N/A</v>
      </c>
      <c r="AZ292" s="120" t="e">
        <f>VLOOKUP(AY292,'排出係数表'!$A$4:$C$202,2,FALSE)</f>
        <v>#N/A</v>
      </c>
      <c r="BA292" s="120" t="e">
        <f t="shared" si="171"/>
        <v>#N/A</v>
      </c>
      <c r="BB292" s="120" t="e">
        <f>VLOOKUP(AY292,'排出係数表'!$A$4:$C$202,3,FALSE)</f>
        <v>#N/A</v>
      </c>
      <c r="BC292" s="120" t="e">
        <f t="shared" si="172"/>
        <v>#N/A</v>
      </c>
      <c r="BD292" s="120">
        <f t="shared" si="183"/>
        <v>1</v>
      </c>
      <c r="BE292" s="122">
        <f t="shared" si="173"/>
      </c>
      <c r="BF292" s="123" t="e">
        <f t="shared" si="192"/>
        <v>#VALUE!</v>
      </c>
      <c r="BG292" s="122">
        <f t="shared" si="189"/>
      </c>
      <c r="BH292" s="120" t="e">
        <f t="shared" si="190"/>
        <v>#VALUE!</v>
      </c>
      <c r="BI292" s="120" t="e">
        <f t="shared" si="191"/>
        <v>#VALUE!</v>
      </c>
      <c r="BJ292" s="122" t="e">
        <f>VLOOKUP(AY292,'排出係数表'!$A$4:$D$202,4)</f>
        <v>#N/A</v>
      </c>
      <c r="BK292" s="257">
        <f t="shared" si="193"/>
      </c>
    </row>
    <row r="293" spans="1:63" s="124" customFormat="1" ht="13.5" customHeight="1">
      <c r="A293" s="120"/>
      <c r="B293" s="120"/>
      <c r="C293" s="155"/>
      <c r="D293" s="155"/>
      <c r="E293" s="155"/>
      <c r="F293" s="155"/>
      <c r="G293" s="156"/>
      <c r="H293" s="157"/>
      <c r="I293" s="155"/>
      <c r="J293" s="155"/>
      <c r="K293" s="158"/>
      <c r="L293" s="159"/>
      <c r="M293" s="244"/>
      <c r="N293" s="155"/>
      <c r="O293" s="345">
        <f t="shared" si="174"/>
      </c>
      <c r="P293" s="345">
        <f t="shared" si="160"/>
      </c>
      <c r="Q293" s="508"/>
      <c r="R293" s="346"/>
      <c r="S293" s="347"/>
      <c r="T293" s="348"/>
      <c r="U293" s="347"/>
      <c r="V293" s="348"/>
      <c r="W293" s="347"/>
      <c r="X293" s="348"/>
      <c r="Y293" s="347"/>
      <c r="Z293" s="348"/>
      <c r="AA293" s="340" t="e">
        <f t="shared" si="161"/>
        <v>#N/A</v>
      </c>
      <c r="AB293" s="339">
        <f t="shared" si="175"/>
      </c>
      <c r="AC293" s="339">
        <f t="shared" si="176"/>
      </c>
      <c r="AD293" s="255">
        <f t="shared" si="177"/>
      </c>
      <c r="AE293" s="256">
        <f t="shared" si="178"/>
      </c>
      <c r="AF293" s="256">
        <f t="shared" si="179"/>
      </c>
      <c r="AG293" s="255">
        <f t="shared" si="180"/>
      </c>
      <c r="AH293" s="255">
        <f t="shared" si="162"/>
      </c>
      <c r="AI293" s="255">
        <f t="shared" si="181"/>
      </c>
      <c r="AJ293" s="255">
        <f t="shared" si="182"/>
      </c>
      <c r="AK293" s="255">
        <f t="shared" si="163"/>
      </c>
      <c r="AL293" s="255">
        <f t="shared" si="164"/>
      </c>
      <c r="AM293" s="120">
        <f ca="1" t="shared" si="187"/>
        <v>0</v>
      </c>
      <c r="AN293" s="120" t="e">
        <f t="shared" si="165"/>
        <v>#N/A</v>
      </c>
      <c r="AO293" s="120">
        <f>ROWS($AO$4:AO293)-1</f>
        <v>289</v>
      </c>
      <c r="AP293" s="255" t="e">
        <f t="shared" si="188"/>
        <v>#N/A</v>
      </c>
      <c r="AQ293" s="120" t="e">
        <f t="shared" si="166"/>
        <v>#N/A</v>
      </c>
      <c r="AR293" s="120" t="e">
        <f aca="true" t="shared" si="194" ref="AR293:AR304">LOOKUP(F293,種類,$M$307:$M$314)</f>
        <v>#N/A</v>
      </c>
      <c r="AS293" s="121">
        <f t="shared" si="184"/>
        <v>1</v>
      </c>
      <c r="AT293" s="120" t="str">
        <f t="shared" si="185"/>
        <v> </v>
      </c>
      <c r="AU293" s="120" t="str">
        <f t="shared" si="186"/>
        <v> </v>
      </c>
      <c r="AV293" s="120" t="e">
        <f t="shared" si="167"/>
        <v>#N/A</v>
      </c>
      <c r="AW293" s="120" t="e">
        <f t="shared" si="168"/>
        <v>#N/A</v>
      </c>
      <c r="AX293" s="120">
        <f t="shared" si="169"/>
      </c>
      <c r="AY293" s="120" t="e">
        <f t="shared" si="170"/>
        <v>#N/A</v>
      </c>
      <c r="AZ293" s="120" t="e">
        <f>VLOOKUP(AY293,'排出係数表'!$A$4:$C$202,2,FALSE)</f>
        <v>#N/A</v>
      </c>
      <c r="BA293" s="120" t="e">
        <f t="shared" si="171"/>
        <v>#N/A</v>
      </c>
      <c r="BB293" s="120" t="e">
        <f>VLOOKUP(AY293,'排出係数表'!$A$4:$C$202,3,FALSE)</f>
        <v>#N/A</v>
      </c>
      <c r="BC293" s="120" t="e">
        <f t="shared" si="172"/>
        <v>#N/A</v>
      </c>
      <c r="BD293" s="120">
        <f t="shared" si="183"/>
        <v>1</v>
      </c>
      <c r="BE293" s="122">
        <f t="shared" si="173"/>
      </c>
      <c r="BF293" s="123" t="e">
        <f t="shared" si="192"/>
        <v>#VALUE!</v>
      </c>
      <c r="BG293" s="122">
        <f t="shared" si="189"/>
      </c>
      <c r="BH293" s="120" t="e">
        <f t="shared" si="190"/>
        <v>#VALUE!</v>
      </c>
      <c r="BI293" s="120" t="e">
        <f t="shared" si="191"/>
        <v>#VALUE!</v>
      </c>
      <c r="BJ293" s="122" t="e">
        <f>VLOOKUP(AY293,'排出係数表'!$A$4:$D$202,4)</f>
        <v>#N/A</v>
      </c>
      <c r="BK293" s="257">
        <f t="shared" si="193"/>
      </c>
    </row>
    <row r="294" spans="1:63" s="124" customFormat="1" ht="13.5" customHeight="1">
      <c r="A294" s="120"/>
      <c r="B294" s="120"/>
      <c r="C294" s="155"/>
      <c r="D294" s="155"/>
      <c r="E294" s="155"/>
      <c r="F294" s="155"/>
      <c r="G294" s="156"/>
      <c r="H294" s="157"/>
      <c r="I294" s="155"/>
      <c r="J294" s="155"/>
      <c r="K294" s="158"/>
      <c r="L294" s="159"/>
      <c r="M294" s="244"/>
      <c r="N294" s="155"/>
      <c r="O294" s="345">
        <f t="shared" si="174"/>
      </c>
      <c r="P294" s="345">
        <f t="shared" si="160"/>
      </c>
      <c r="Q294" s="508"/>
      <c r="R294" s="346"/>
      <c r="S294" s="347"/>
      <c r="T294" s="348"/>
      <c r="U294" s="347"/>
      <c r="V294" s="348"/>
      <c r="W294" s="347"/>
      <c r="X294" s="348"/>
      <c r="Y294" s="347"/>
      <c r="Z294" s="348"/>
      <c r="AA294" s="340" t="e">
        <f t="shared" si="161"/>
        <v>#N/A</v>
      </c>
      <c r="AB294" s="339">
        <f t="shared" si="175"/>
      </c>
      <c r="AC294" s="339">
        <f t="shared" si="176"/>
      </c>
      <c r="AD294" s="255">
        <f t="shared" si="177"/>
      </c>
      <c r="AE294" s="256">
        <f t="shared" si="178"/>
      </c>
      <c r="AF294" s="256">
        <f t="shared" si="179"/>
      </c>
      <c r="AG294" s="255">
        <f t="shared" si="180"/>
      </c>
      <c r="AH294" s="255">
        <f t="shared" si="162"/>
      </c>
      <c r="AI294" s="255">
        <f t="shared" si="181"/>
      </c>
      <c r="AJ294" s="255">
        <f t="shared" si="182"/>
      </c>
      <c r="AK294" s="255">
        <f t="shared" si="163"/>
      </c>
      <c r="AL294" s="255">
        <f t="shared" si="164"/>
      </c>
      <c r="AM294" s="120">
        <f ca="1" t="shared" si="187"/>
        <v>0</v>
      </c>
      <c r="AN294" s="120" t="e">
        <f t="shared" si="165"/>
        <v>#N/A</v>
      </c>
      <c r="AO294" s="120">
        <f>ROWS($AO$4:AO294)-1</f>
        <v>290</v>
      </c>
      <c r="AP294" s="255" t="e">
        <f t="shared" si="188"/>
        <v>#N/A</v>
      </c>
      <c r="AQ294" s="120" t="e">
        <f t="shared" si="166"/>
        <v>#N/A</v>
      </c>
      <c r="AR294" s="120" t="e">
        <f t="shared" si="194"/>
        <v>#N/A</v>
      </c>
      <c r="AS294" s="121">
        <f t="shared" si="184"/>
        <v>1</v>
      </c>
      <c r="AT294" s="120" t="str">
        <f t="shared" si="185"/>
        <v> </v>
      </c>
      <c r="AU294" s="120" t="str">
        <f t="shared" si="186"/>
        <v> </v>
      </c>
      <c r="AV294" s="120" t="e">
        <f t="shared" si="167"/>
        <v>#N/A</v>
      </c>
      <c r="AW294" s="120" t="e">
        <f t="shared" si="168"/>
        <v>#N/A</v>
      </c>
      <c r="AX294" s="120">
        <f t="shared" si="169"/>
      </c>
      <c r="AY294" s="120" t="e">
        <f t="shared" si="170"/>
        <v>#N/A</v>
      </c>
      <c r="AZ294" s="120" t="e">
        <f>VLOOKUP(AY294,'排出係数表'!$A$4:$C$202,2,FALSE)</f>
        <v>#N/A</v>
      </c>
      <c r="BA294" s="120" t="e">
        <f t="shared" si="171"/>
        <v>#N/A</v>
      </c>
      <c r="BB294" s="120" t="e">
        <f>VLOOKUP(AY294,'排出係数表'!$A$4:$C$202,3,FALSE)</f>
        <v>#N/A</v>
      </c>
      <c r="BC294" s="120" t="e">
        <f t="shared" si="172"/>
        <v>#N/A</v>
      </c>
      <c r="BD294" s="120">
        <f t="shared" si="183"/>
        <v>1</v>
      </c>
      <c r="BE294" s="122">
        <f t="shared" si="173"/>
      </c>
      <c r="BF294" s="123" t="e">
        <f t="shared" si="192"/>
        <v>#VALUE!</v>
      </c>
      <c r="BG294" s="122">
        <f t="shared" si="189"/>
      </c>
      <c r="BH294" s="120" t="e">
        <f t="shared" si="190"/>
        <v>#VALUE!</v>
      </c>
      <c r="BI294" s="120" t="e">
        <f t="shared" si="191"/>
        <v>#VALUE!</v>
      </c>
      <c r="BJ294" s="122" t="e">
        <f>VLOOKUP(AY294,'排出係数表'!$A$4:$D$202,4)</f>
        <v>#N/A</v>
      </c>
      <c r="BK294" s="257">
        <f t="shared" si="193"/>
      </c>
    </row>
    <row r="295" spans="1:63" s="124" customFormat="1" ht="13.5" customHeight="1">
      <c r="A295" s="120"/>
      <c r="B295" s="120"/>
      <c r="C295" s="155"/>
      <c r="D295" s="155"/>
      <c r="E295" s="155"/>
      <c r="F295" s="155"/>
      <c r="G295" s="156"/>
      <c r="H295" s="157"/>
      <c r="I295" s="155"/>
      <c r="J295" s="155"/>
      <c r="K295" s="158"/>
      <c r="L295" s="159"/>
      <c r="M295" s="244"/>
      <c r="N295" s="155"/>
      <c r="O295" s="345">
        <f t="shared" si="174"/>
      </c>
      <c r="P295" s="345">
        <f t="shared" si="160"/>
      </c>
      <c r="Q295" s="508"/>
      <c r="R295" s="346"/>
      <c r="S295" s="347"/>
      <c r="T295" s="348"/>
      <c r="U295" s="347"/>
      <c r="V295" s="348"/>
      <c r="W295" s="347"/>
      <c r="X295" s="348"/>
      <c r="Y295" s="347"/>
      <c r="Z295" s="348"/>
      <c r="AA295" s="340" t="e">
        <f t="shared" si="161"/>
        <v>#N/A</v>
      </c>
      <c r="AB295" s="339">
        <f t="shared" si="175"/>
      </c>
      <c r="AC295" s="339">
        <f t="shared" si="176"/>
      </c>
      <c r="AD295" s="255">
        <f t="shared" si="177"/>
      </c>
      <c r="AE295" s="256">
        <f t="shared" si="178"/>
      </c>
      <c r="AF295" s="256">
        <f t="shared" si="179"/>
      </c>
      <c r="AG295" s="255">
        <f t="shared" si="180"/>
      </c>
      <c r="AH295" s="255">
        <f t="shared" si="162"/>
      </c>
      <c r="AI295" s="255">
        <f t="shared" si="181"/>
      </c>
      <c r="AJ295" s="255">
        <f t="shared" si="182"/>
      </c>
      <c r="AK295" s="255">
        <f t="shared" si="163"/>
      </c>
      <c r="AL295" s="255">
        <f t="shared" si="164"/>
      </c>
      <c r="AM295" s="120">
        <f ca="1" t="shared" si="187"/>
        <v>0</v>
      </c>
      <c r="AN295" s="120" t="e">
        <f t="shared" si="165"/>
        <v>#N/A</v>
      </c>
      <c r="AO295" s="120">
        <f>ROWS($AO$4:AO295)-1</f>
        <v>291</v>
      </c>
      <c r="AP295" s="255" t="e">
        <f t="shared" si="188"/>
        <v>#N/A</v>
      </c>
      <c r="AQ295" s="120" t="e">
        <f t="shared" si="166"/>
        <v>#N/A</v>
      </c>
      <c r="AR295" s="120" t="e">
        <f t="shared" si="194"/>
        <v>#N/A</v>
      </c>
      <c r="AS295" s="121">
        <f t="shared" si="184"/>
        <v>1</v>
      </c>
      <c r="AT295" s="120" t="str">
        <f t="shared" si="185"/>
        <v> </v>
      </c>
      <c r="AU295" s="120" t="str">
        <f t="shared" si="186"/>
        <v> </v>
      </c>
      <c r="AV295" s="120" t="e">
        <f t="shared" si="167"/>
        <v>#N/A</v>
      </c>
      <c r="AW295" s="120" t="e">
        <f t="shared" si="168"/>
        <v>#N/A</v>
      </c>
      <c r="AX295" s="120">
        <f t="shared" si="169"/>
      </c>
      <c r="AY295" s="120" t="e">
        <f t="shared" si="170"/>
        <v>#N/A</v>
      </c>
      <c r="AZ295" s="120" t="e">
        <f>VLOOKUP(AY295,'排出係数表'!$A$4:$C$202,2,FALSE)</f>
        <v>#N/A</v>
      </c>
      <c r="BA295" s="120" t="e">
        <f t="shared" si="171"/>
        <v>#N/A</v>
      </c>
      <c r="BB295" s="120" t="e">
        <f>VLOOKUP(AY295,'排出係数表'!$A$4:$C$202,3,FALSE)</f>
        <v>#N/A</v>
      </c>
      <c r="BC295" s="120" t="e">
        <f t="shared" si="172"/>
        <v>#N/A</v>
      </c>
      <c r="BD295" s="120">
        <f t="shared" si="183"/>
        <v>1</v>
      </c>
      <c r="BE295" s="122">
        <f t="shared" si="173"/>
      </c>
      <c r="BF295" s="123" t="e">
        <f t="shared" si="192"/>
        <v>#VALUE!</v>
      </c>
      <c r="BG295" s="122">
        <f t="shared" si="189"/>
      </c>
      <c r="BH295" s="120" t="e">
        <f t="shared" si="190"/>
        <v>#VALUE!</v>
      </c>
      <c r="BI295" s="120" t="e">
        <f t="shared" si="191"/>
        <v>#VALUE!</v>
      </c>
      <c r="BJ295" s="122" t="e">
        <f>VLOOKUP(AY295,'排出係数表'!$A$4:$D$202,4)</f>
        <v>#N/A</v>
      </c>
      <c r="BK295" s="257">
        <f t="shared" si="193"/>
      </c>
    </row>
    <row r="296" spans="1:63" s="124" customFormat="1" ht="13.5" customHeight="1">
      <c r="A296" s="120"/>
      <c r="B296" s="120"/>
      <c r="C296" s="155"/>
      <c r="D296" s="155"/>
      <c r="E296" s="155"/>
      <c r="F296" s="155"/>
      <c r="G296" s="156"/>
      <c r="H296" s="157"/>
      <c r="I296" s="155"/>
      <c r="J296" s="155"/>
      <c r="K296" s="158"/>
      <c r="L296" s="159"/>
      <c r="M296" s="244"/>
      <c r="N296" s="155"/>
      <c r="O296" s="345">
        <f t="shared" si="174"/>
      </c>
      <c r="P296" s="345">
        <f t="shared" si="160"/>
      </c>
      <c r="Q296" s="508"/>
      <c r="R296" s="346"/>
      <c r="S296" s="347"/>
      <c r="T296" s="348"/>
      <c r="U296" s="347"/>
      <c r="V296" s="348"/>
      <c r="W296" s="347"/>
      <c r="X296" s="348"/>
      <c r="Y296" s="347"/>
      <c r="Z296" s="348"/>
      <c r="AA296" s="340" t="e">
        <f t="shared" si="161"/>
        <v>#N/A</v>
      </c>
      <c r="AB296" s="339">
        <f t="shared" si="175"/>
      </c>
      <c r="AC296" s="339">
        <f t="shared" si="176"/>
      </c>
      <c r="AD296" s="255">
        <f t="shared" si="177"/>
      </c>
      <c r="AE296" s="256">
        <f t="shared" si="178"/>
      </c>
      <c r="AF296" s="256">
        <f t="shared" si="179"/>
      </c>
      <c r="AG296" s="255">
        <f t="shared" si="180"/>
      </c>
      <c r="AH296" s="255">
        <f t="shared" si="162"/>
      </c>
      <c r="AI296" s="255">
        <f t="shared" si="181"/>
      </c>
      <c r="AJ296" s="255">
        <f t="shared" si="182"/>
      </c>
      <c r="AK296" s="255">
        <f t="shared" si="163"/>
      </c>
      <c r="AL296" s="255">
        <f t="shared" si="164"/>
      </c>
      <c r="AM296" s="120">
        <f ca="1" t="shared" si="187"/>
        <v>0</v>
      </c>
      <c r="AN296" s="120" t="e">
        <f t="shared" si="165"/>
        <v>#N/A</v>
      </c>
      <c r="AO296" s="120">
        <f>ROWS($AO$4:AO296)-1</f>
        <v>292</v>
      </c>
      <c r="AP296" s="255" t="e">
        <f t="shared" si="188"/>
        <v>#N/A</v>
      </c>
      <c r="AQ296" s="120" t="e">
        <f t="shared" si="166"/>
        <v>#N/A</v>
      </c>
      <c r="AR296" s="120" t="e">
        <f t="shared" si="194"/>
        <v>#N/A</v>
      </c>
      <c r="AS296" s="121">
        <f t="shared" si="184"/>
        <v>1</v>
      </c>
      <c r="AT296" s="120" t="str">
        <f t="shared" si="185"/>
        <v> </v>
      </c>
      <c r="AU296" s="120" t="str">
        <f t="shared" si="186"/>
        <v> </v>
      </c>
      <c r="AV296" s="120" t="e">
        <f t="shared" si="167"/>
        <v>#N/A</v>
      </c>
      <c r="AW296" s="120" t="e">
        <f t="shared" si="168"/>
        <v>#N/A</v>
      </c>
      <c r="AX296" s="120">
        <f t="shared" si="169"/>
      </c>
      <c r="AY296" s="120" t="e">
        <f t="shared" si="170"/>
        <v>#N/A</v>
      </c>
      <c r="AZ296" s="120" t="e">
        <f>VLOOKUP(AY296,'排出係数表'!$A$4:$C$202,2,FALSE)</f>
        <v>#N/A</v>
      </c>
      <c r="BA296" s="120" t="e">
        <f t="shared" si="171"/>
        <v>#N/A</v>
      </c>
      <c r="BB296" s="120" t="e">
        <f>VLOOKUP(AY296,'排出係数表'!$A$4:$C$202,3,FALSE)</f>
        <v>#N/A</v>
      </c>
      <c r="BC296" s="120" t="e">
        <f t="shared" si="172"/>
        <v>#N/A</v>
      </c>
      <c r="BD296" s="120">
        <f t="shared" si="183"/>
        <v>1</v>
      </c>
      <c r="BE296" s="122">
        <f t="shared" si="173"/>
      </c>
      <c r="BF296" s="123" t="e">
        <f t="shared" si="192"/>
        <v>#VALUE!</v>
      </c>
      <c r="BG296" s="122">
        <f t="shared" si="189"/>
      </c>
      <c r="BH296" s="120" t="e">
        <f t="shared" si="190"/>
        <v>#VALUE!</v>
      </c>
      <c r="BI296" s="120" t="e">
        <f t="shared" si="191"/>
        <v>#VALUE!</v>
      </c>
      <c r="BJ296" s="122" t="e">
        <f>VLOOKUP(AY296,'排出係数表'!$A$4:$D$202,4)</f>
        <v>#N/A</v>
      </c>
      <c r="BK296" s="257">
        <f t="shared" si="193"/>
      </c>
    </row>
    <row r="297" spans="1:63" s="124" customFormat="1" ht="13.5" customHeight="1">
      <c r="A297" s="120"/>
      <c r="B297" s="120"/>
      <c r="C297" s="155"/>
      <c r="D297" s="155"/>
      <c r="E297" s="155"/>
      <c r="F297" s="155"/>
      <c r="G297" s="156"/>
      <c r="H297" s="157"/>
      <c r="I297" s="155"/>
      <c r="J297" s="155"/>
      <c r="K297" s="158"/>
      <c r="L297" s="159"/>
      <c r="M297" s="244"/>
      <c r="N297" s="155"/>
      <c r="O297" s="345">
        <f t="shared" si="174"/>
      </c>
      <c r="P297" s="345">
        <f t="shared" si="160"/>
      </c>
      <c r="Q297" s="508"/>
      <c r="R297" s="346"/>
      <c r="S297" s="347"/>
      <c r="T297" s="348"/>
      <c r="U297" s="347"/>
      <c r="V297" s="348"/>
      <c r="W297" s="347"/>
      <c r="X297" s="348"/>
      <c r="Y297" s="347"/>
      <c r="Z297" s="348"/>
      <c r="AA297" s="340" t="e">
        <f t="shared" si="161"/>
        <v>#N/A</v>
      </c>
      <c r="AB297" s="339">
        <f t="shared" si="175"/>
      </c>
      <c r="AC297" s="339">
        <f t="shared" si="176"/>
      </c>
      <c r="AD297" s="255">
        <f t="shared" si="177"/>
      </c>
      <c r="AE297" s="256">
        <f t="shared" si="178"/>
      </c>
      <c r="AF297" s="256">
        <f t="shared" si="179"/>
      </c>
      <c r="AG297" s="255">
        <f t="shared" si="180"/>
      </c>
      <c r="AH297" s="255">
        <f t="shared" si="162"/>
      </c>
      <c r="AI297" s="255">
        <f t="shared" si="181"/>
      </c>
      <c r="AJ297" s="255">
        <f t="shared" si="182"/>
      </c>
      <c r="AK297" s="255">
        <f t="shared" si="163"/>
      </c>
      <c r="AL297" s="255">
        <f t="shared" si="164"/>
      </c>
      <c r="AM297" s="120">
        <f ca="1" t="shared" si="187"/>
        <v>0</v>
      </c>
      <c r="AN297" s="120" t="e">
        <f t="shared" si="165"/>
        <v>#N/A</v>
      </c>
      <c r="AO297" s="120">
        <f>ROWS($AO$4:AO297)-1</f>
        <v>293</v>
      </c>
      <c r="AP297" s="255" t="e">
        <f t="shared" si="188"/>
        <v>#N/A</v>
      </c>
      <c r="AQ297" s="120" t="e">
        <f t="shared" si="166"/>
        <v>#N/A</v>
      </c>
      <c r="AR297" s="120" t="e">
        <f t="shared" si="194"/>
        <v>#N/A</v>
      </c>
      <c r="AS297" s="121">
        <f t="shared" si="184"/>
        <v>1</v>
      </c>
      <c r="AT297" s="120" t="str">
        <f t="shared" si="185"/>
        <v> </v>
      </c>
      <c r="AU297" s="120" t="str">
        <f t="shared" si="186"/>
        <v> </v>
      </c>
      <c r="AV297" s="120" t="e">
        <f t="shared" si="167"/>
        <v>#N/A</v>
      </c>
      <c r="AW297" s="120" t="e">
        <f t="shared" si="168"/>
        <v>#N/A</v>
      </c>
      <c r="AX297" s="120">
        <f t="shared" si="169"/>
      </c>
      <c r="AY297" s="120" t="e">
        <f t="shared" si="170"/>
        <v>#N/A</v>
      </c>
      <c r="AZ297" s="120" t="e">
        <f>VLOOKUP(AY297,'排出係数表'!$A$4:$C$202,2,FALSE)</f>
        <v>#N/A</v>
      </c>
      <c r="BA297" s="120" t="e">
        <f t="shared" si="171"/>
        <v>#N/A</v>
      </c>
      <c r="BB297" s="120" t="e">
        <f>VLOOKUP(AY297,'排出係数表'!$A$4:$C$202,3,FALSE)</f>
        <v>#N/A</v>
      </c>
      <c r="BC297" s="120" t="e">
        <f t="shared" si="172"/>
        <v>#N/A</v>
      </c>
      <c r="BD297" s="120">
        <f t="shared" si="183"/>
        <v>1</v>
      </c>
      <c r="BE297" s="122">
        <f t="shared" si="173"/>
      </c>
      <c r="BF297" s="123" t="e">
        <f t="shared" si="192"/>
        <v>#VALUE!</v>
      </c>
      <c r="BG297" s="122">
        <f t="shared" si="189"/>
      </c>
      <c r="BH297" s="120" t="e">
        <f t="shared" si="190"/>
        <v>#VALUE!</v>
      </c>
      <c r="BI297" s="120" t="e">
        <f t="shared" si="191"/>
        <v>#VALUE!</v>
      </c>
      <c r="BJ297" s="122" t="e">
        <f>VLOOKUP(AY297,'排出係数表'!$A$4:$D$202,4)</f>
        <v>#N/A</v>
      </c>
      <c r="BK297" s="257">
        <f t="shared" si="193"/>
      </c>
    </row>
    <row r="298" spans="1:63" s="124" customFormat="1" ht="13.5" customHeight="1">
      <c r="A298" s="120"/>
      <c r="B298" s="120"/>
      <c r="C298" s="155"/>
      <c r="D298" s="155"/>
      <c r="E298" s="155"/>
      <c r="F298" s="155"/>
      <c r="G298" s="156"/>
      <c r="H298" s="157"/>
      <c r="I298" s="155"/>
      <c r="J298" s="155"/>
      <c r="K298" s="158"/>
      <c r="L298" s="159"/>
      <c r="M298" s="244"/>
      <c r="N298" s="155"/>
      <c r="O298" s="345">
        <f t="shared" si="174"/>
      </c>
      <c r="P298" s="345">
        <f t="shared" si="160"/>
      </c>
      <c r="Q298" s="508"/>
      <c r="R298" s="346"/>
      <c r="S298" s="347"/>
      <c r="T298" s="348"/>
      <c r="U298" s="347"/>
      <c r="V298" s="348"/>
      <c r="W298" s="347"/>
      <c r="X298" s="348"/>
      <c r="Y298" s="347"/>
      <c r="Z298" s="348"/>
      <c r="AA298" s="340" t="e">
        <f t="shared" si="161"/>
        <v>#N/A</v>
      </c>
      <c r="AB298" s="339">
        <f t="shared" si="175"/>
      </c>
      <c r="AC298" s="339">
        <f t="shared" si="176"/>
      </c>
      <c r="AD298" s="255">
        <f t="shared" si="177"/>
      </c>
      <c r="AE298" s="256">
        <f t="shared" si="178"/>
      </c>
      <c r="AF298" s="256">
        <f t="shared" si="179"/>
      </c>
      <c r="AG298" s="255">
        <f t="shared" si="180"/>
      </c>
      <c r="AH298" s="255">
        <f t="shared" si="162"/>
      </c>
      <c r="AI298" s="255">
        <f t="shared" si="181"/>
      </c>
      <c r="AJ298" s="255">
        <f t="shared" si="182"/>
      </c>
      <c r="AK298" s="255">
        <f t="shared" si="163"/>
      </c>
      <c r="AL298" s="255">
        <f t="shared" si="164"/>
      </c>
      <c r="AM298" s="120">
        <f ca="1" t="shared" si="187"/>
        <v>0</v>
      </c>
      <c r="AN298" s="120" t="e">
        <f t="shared" si="165"/>
        <v>#N/A</v>
      </c>
      <c r="AO298" s="120">
        <f>ROWS($AO$4:AO298)-1</f>
        <v>294</v>
      </c>
      <c r="AP298" s="255" t="e">
        <f t="shared" si="188"/>
        <v>#N/A</v>
      </c>
      <c r="AQ298" s="120" t="e">
        <f t="shared" si="166"/>
        <v>#N/A</v>
      </c>
      <c r="AR298" s="120" t="e">
        <f t="shared" si="194"/>
        <v>#N/A</v>
      </c>
      <c r="AS298" s="121">
        <f t="shared" si="184"/>
        <v>1</v>
      </c>
      <c r="AT298" s="120" t="str">
        <f t="shared" si="185"/>
        <v> </v>
      </c>
      <c r="AU298" s="120" t="str">
        <f t="shared" si="186"/>
        <v> </v>
      </c>
      <c r="AV298" s="120" t="e">
        <f t="shared" si="167"/>
        <v>#N/A</v>
      </c>
      <c r="AW298" s="120" t="e">
        <f t="shared" si="168"/>
        <v>#N/A</v>
      </c>
      <c r="AX298" s="120">
        <f t="shared" si="169"/>
      </c>
      <c r="AY298" s="120" t="e">
        <f t="shared" si="170"/>
        <v>#N/A</v>
      </c>
      <c r="AZ298" s="120" t="e">
        <f>VLOOKUP(AY298,'排出係数表'!$A$4:$C$202,2,FALSE)</f>
        <v>#N/A</v>
      </c>
      <c r="BA298" s="120" t="e">
        <f t="shared" si="171"/>
        <v>#N/A</v>
      </c>
      <c r="BB298" s="120" t="e">
        <f>VLOOKUP(AY298,'排出係数表'!$A$4:$C$202,3,FALSE)</f>
        <v>#N/A</v>
      </c>
      <c r="BC298" s="120" t="e">
        <f t="shared" si="172"/>
        <v>#N/A</v>
      </c>
      <c r="BD298" s="120">
        <f t="shared" si="183"/>
        <v>1</v>
      </c>
      <c r="BE298" s="122">
        <f t="shared" si="173"/>
      </c>
      <c r="BF298" s="123" t="e">
        <f t="shared" si="192"/>
        <v>#VALUE!</v>
      </c>
      <c r="BG298" s="122">
        <f t="shared" si="189"/>
      </c>
      <c r="BH298" s="120" t="e">
        <f t="shared" si="190"/>
        <v>#VALUE!</v>
      </c>
      <c r="BI298" s="120" t="e">
        <f t="shared" si="191"/>
        <v>#VALUE!</v>
      </c>
      <c r="BJ298" s="122" t="e">
        <f>VLOOKUP(AY298,'排出係数表'!$A$4:$D$202,4)</f>
        <v>#N/A</v>
      </c>
      <c r="BK298" s="257">
        <f t="shared" si="193"/>
      </c>
    </row>
    <row r="299" spans="1:63" s="124" customFormat="1" ht="13.5" customHeight="1">
      <c r="A299" s="120"/>
      <c r="B299" s="120"/>
      <c r="C299" s="155"/>
      <c r="D299" s="155"/>
      <c r="E299" s="155"/>
      <c r="F299" s="155"/>
      <c r="G299" s="156"/>
      <c r="H299" s="157"/>
      <c r="I299" s="155"/>
      <c r="J299" s="155"/>
      <c r="K299" s="158"/>
      <c r="L299" s="159"/>
      <c r="M299" s="244"/>
      <c r="N299" s="155"/>
      <c r="O299" s="345">
        <f t="shared" si="174"/>
      </c>
      <c r="P299" s="345">
        <f t="shared" si="160"/>
      </c>
      <c r="Q299" s="508"/>
      <c r="R299" s="346"/>
      <c r="S299" s="347"/>
      <c r="T299" s="348"/>
      <c r="U299" s="347"/>
      <c r="V299" s="348"/>
      <c r="W299" s="347"/>
      <c r="X299" s="348"/>
      <c r="Y299" s="347"/>
      <c r="Z299" s="348"/>
      <c r="AA299" s="340" t="e">
        <f t="shared" si="161"/>
        <v>#N/A</v>
      </c>
      <c r="AB299" s="339">
        <f t="shared" si="175"/>
      </c>
      <c r="AC299" s="339">
        <f t="shared" si="176"/>
      </c>
      <c r="AD299" s="255">
        <f t="shared" si="177"/>
      </c>
      <c r="AE299" s="256">
        <f t="shared" si="178"/>
      </c>
      <c r="AF299" s="256">
        <f t="shared" si="179"/>
      </c>
      <c r="AG299" s="255">
        <f t="shared" si="180"/>
      </c>
      <c r="AH299" s="255">
        <f t="shared" si="162"/>
      </c>
      <c r="AI299" s="255">
        <f t="shared" si="181"/>
      </c>
      <c r="AJ299" s="255">
        <f t="shared" si="182"/>
      </c>
      <c r="AK299" s="255">
        <f t="shared" si="163"/>
      </c>
      <c r="AL299" s="255">
        <f t="shared" si="164"/>
      </c>
      <c r="AM299" s="120">
        <f ca="1" t="shared" si="155"/>
        <v>0</v>
      </c>
      <c r="AN299" s="120" t="e">
        <f t="shared" si="165"/>
        <v>#N/A</v>
      </c>
      <c r="AO299" s="120">
        <f>ROWS($AO$4:AO299)-1</f>
        <v>295</v>
      </c>
      <c r="AP299" s="255" t="e">
        <f t="shared" si="156"/>
        <v>#N/A</v>
      </c>
      <c r="AQ299" s="120" t="e">
        <f t="shared" si="166"/>
        <v>#N/A</v>
      </c>
      <c r="AR299" s="120" t="e">
        <f t="shared" si="194"/>
        <v>#N/A</v>
      </c>
      <c r="AS299" s="121">
        <f t="shared" si="152"/>
        <v>1</v>
      </c>
      <c r="AT299" s="120" t="str">
        <f t="shared" si="153"/>
        <v> </v>
      </c>
      <c r="AU299" s="120" t="str">
        <f t="shared" si="154"/>
        <v> </v>
      </c>
      <c r="AV299" s="120" t="e">
        <f t="shared" si="167"/>
        <v>#N/A</v>
      </c>
      <c r="AW299" s="120" t="e">
        <f t="shared" si="168"/>
        <v>#N/A</v>
      </c>
      <c r="AX299" s="120">
        <f t="shared" si="169"/>
      </c>
      <c r="AY299" s="120" t="e">
        <f t="shared" si="170"/>
        <v>#N/A</v>
      </c>
      <c r="AZ299" s="120" t="e">
        <f>VLOOKUP(AY299,'排出係数表'!$A$4:$C$202,2,FALSE)</f>
        <v>#N/A</v>
      </c>
      <c r="BA299" s="120" t="e">
        <f t="shared" si="171"/>
        <v>#N/A</v>
      </c>
      <c r="BB299" s="120" t="e">
        <f>VLOOKUP(AY299,'排出係数表'!$A$4:$C$202,3,FALSE)</f>
        <v>#N/A</v>
      </c>
      <c r="BC299" s="120" t="e">
        <f t="shared" si="172"/>
        <v>#N/A</v>
      </c>
      <c r="BD299" s="120">
        <f t="shared" si="183"/>
        <v>1</v>
      </c>
      <c r="BE299" s="122">
        <f t="shared" si="173"/>
      </c>
      <c r="BF299" s="123" t="e">
        <f t="shared" si="158"/>
        <v>#VALUE!</v>
      </c>
      <c r="BG299" s="122">
        <f t="shared" si="189"/>
      </c>
      <c r="BH299" s="120" t="e">
        <f t="shared" si="190"/>
        <v>#VALUE!</v>
      </c>
      <c r="BI299" s="120" t="e">
        <f t="shared" si="191"/>
        <v>#VALUE!</v>
      </c>
      <c r="BJ299" s="122" t="e">
        <f>VLOOKUP(AY299,'排出係数表'!$A$4:$D$202,4)</f>
        <v>#N/A</v>
      </c>
      <c r="BK299" s="257">
        <f t="shared" si="193"/>
      </c>
    </row>
    <row r="300" spans="1:63" s="124" customFormat="1" ht="13.5" customHeight="1">
      <c r="A300" s="120"/>
      <c r="B300" s="120"/>
      <c r="C300" s="155"/>
      <c r="D300" s="155"/>
      <c r="E300" s="155"/>
      <c r="F300" s="155"/>
      <c r="G300" s="156"/>
      <c r="H300" s="157"/>
      <c r="I300" s="155"/>
      <c r="J300" s="155"/>
      <c r="K300" s="158"/>
      <c r="L300" s="159"/>
      <c r="M300" s="244"/>
      <c r="N300" s="155"/>
      <c r="O300" s="345">
        <f t="shared" si="174"/>
      </c>
      <c r="P300" s="345">
        <f t="shared" si="160"/>
      </c>
      <c r="Q300" s="508"/>
      <c r="R300" s="346"/>
      <c r="S300" s="347"/>
      <c r="T300" s="348"/>
      <c r="U300" s="347"/>
      <c r="V300" s="348"/>
      <c r="W300" s="347"/>
      <c r="X300" s="348"/>
      <c r="Y300" s="347"/>
      <c r="Z300" s="348"/>
      <c r="AA300" s="340" t="e">
        <f t="shared" si="161"/>
        <v>#N/A</v>
      </c>
      <c r="AB300" s="339">
        <f t="shared" si="175"/>
      </c>
      <c r="AC300" s="339">
        <f t="shared" si="176"/>
      </c>
      <c r="AD300" s="255">
        <f t="shared" si="177"/>
      </c>
      <c r="AE300" s="256">
        <f t="shared" si="178"/>
      </c>
      <c r="AF300" s="256">
        <f t="shared" si="179"/>
      </c>
      <c r="AG300" s="255">
        <f t="shared" si="180"/>
      </c>
      <c r="AH300" s="255">
        <f t="shared" si="162"/>
      </c>
      <c r="AI300" s="255">
        <f t="shared" si="181"/>
      </c>
      <c r="AJ300" s="255">
        <f t="shared" si="182"/>
      </c>
      <c r="AK300" s="255">
        <f t="shared" si="163"/>
      </c>
      <c r="AL300" s="255">
        <f t="shared" si="164"/>
      </c>
      <c r="AM300" s="120">
        <f ca="1" t="shared" si="155"/>
        <v>0</v>
      </c>
      <c r="AN300" s="120" t="e">
        <f t="shared" si="165"/>
        <v>#N/A</v>
      </c>
      <c r="AO300" s="120">
        <f>ROWS($AO$4:AO300)-1</f>
        <v>296</v>
      </c>
      <c r="AP300" s="255" t="e">
        <f t="shared" si="156"/>
        <v>#N/A</v>
      </c>
      <c r="AQ300" s="120" t="e">
        <f t="shared" si="166"/>
        <v>#N/A</v>
      </c>
      <c r="AR300" s="120" t="e">
        <f t="shared" si="194"/>
        <v>#N/A</v>
      </c>
      <c r="AS300" s="121">
        <f t="shared" si="152"/>
        <v>1</v>
      </c>
      <c r="AT300" s="120" t="str">
        <f t="shared" si="153"/>
        <v> </v>
      </c>
      <c r="AU300" s="120" t="str">
        <f t="shared" si="154"/>
        <v> </v>
      </c>
      <c r="AV300" s="120" t="e">
        <f t="shared" si="167"/>
        <v>#N/A</v>
      </c>
      <c r="AW300" s="120" t="e">
        <f t="shared" si="168"/>
        <v>#N/A</v>
      </c>
      <c r="AX300" s="120">
        <f t="shared" si="169"/>
      </c>
      <c r="AY300" s="120" t="e">
        <f t="shared" si="170"/>
        <v>#N/A</v>
      </c>
      <c r="AZ300" s="120" t="e">
        <f>VLOOKUP(AY300,'排出係数表'!$A$4:$C$202,2,FALSE)</f>
        <v>#N/A</v>
      </c>
      <c r="BA300" s="120" t="e">
        <f t="shared" si="171"/>
        <v>#N/A</v>
      </c>
      <c r="BB300" s="120" t="e">
        <f>VLOOKUP(AY300,'排出係数表'!$A$4:$C$202,3,FALSE)</f>
        <v>#N/A</v>
      </c>
      <c r="BC300" s="120" t="e">
        <f t="shared" si="172"/>
        <v>#N/A</v>
      </c>
      <c r="BD300" s="120">
        <f t="shared" si="183"/>
        <v>1</v>
      </c>
      <c r="BE300" s="122">
        <f t="shared" si="173"/>
      </c>
      <c r="BF300" s="123" t="e">
        <f t="shared" si="158"/>
        <v>#VALUE!</v>
      </c>
      <c r="BG300" s="122">
        <f t="shared" si="189"/>
      </c>
      <c r="BH300" s="120" t="e">
        <f t="shared" si="190"/>
        <v>#VALUE!</v>
      </c>
      <c r="BI300" s="120" t="e">
        <f t="shared" si="191"/>
        <v>#VALUE!</v>
      </c>
      <c r="BJ300" s="122" t="e">
        <f>VLOOKUP(AY300,'排出係数表'!$A$4:$D$202,4)</f>
        <v>#N/A</v>
      </c>
      <c r="BK300" s="257">
        <f t="shared" si="193"/>
      </c>
    </row>
    <row r="301" spans="1:63" s="124" customFormat="1" ht="13.5" customHeight="1">
      <c r="A301" s="120"/>
      <c r="B301" s="120"/>
      <c r="C301" s="155"/>
      <c r="D301" s="155"/>
      <c r="E301" s="155"/>
      <c r="F301" s="155"/>
      <c r="G301" s="156"/>
      <c r="H301" s="157"/>
      <c r="I301" s="155"/>
      <c r="J301" s="155"/>
      <c r="K301" s="158"/>
      <c r="L301" s="159"/>
      <c r="M301" s="244"/>
      <c r="N301" s="155"/>
      <c r="O301" s="345">
        <f t="shared" si="174"/>
      </c>
      <c r="P301" s="345">
        <f t="shared" si="160"/>
      </c>
      <c r="Q301" s="508"/>
      <c r="R301" s="346"/>
      <c r="S301" s="347"/>
      <c r="T301" s="348"/>
      <c r="U301" s="347"/>
      <c r="V301" s="348"/>
      <c r="W301" s="347"/>
      <c r="X301" s="348"/>
      <c r="Y301" s="347"/>
      <c r="Z301" s="348"/>
      <c r="AA301" s="340" t="e">
        <f t="shared" si="161"/>
        <v>#N/A</v>
      </c>
      <c r="AB301" s="339">
        <f t="shared" si="175"/>
      </c>
      <c r="AC301" s="339">
        <f t="shared" si="176"/>
      </c>
      <c r="AD301" s="255">
        <f t="shared" si="177"/>
      </c>
      <c r="AE301" s="256">
        <f t="shared" si="178"/>
      </c>
      <c r="AF301" s="256">
        <f t="shared" si="179"/>
      </c>
      <c r="AG301" s="255">
        <f t="shared" si="180"/>
      </c>
      <c r="AH301" s="255">
        <f t="shared" si="162"/>
      </c>
      <c r="AI301" s="255">
        <f t="shared" si="181"/>
      </c>
      <c r="AJ301" s="255">
        <f t="shared" si="182"/>
      </c>
      <c r="AK301" s="255">
        <f t="shared" si="163"/>
      </c>
      <c r="AL301" s="255">
        <f t="shared" si="164"/>
      </c>
      <c r="AM301" s="120">
        <f ca="1" t="shared" si="155"/>
        <v>0</v>
      </c>
      <c r="AN301" s="120" t="e">
        <f t="shared" si="165"/>
        <v>#N/A</v>
      </c>
      <c r="AO301" s="120">
        <f>ROWS($AO$4:AO301)-1</f>
        <v>297</v>
      </c>
      <c r="AP301" s="255" t="e">
        <f t="shared" si="156"/>
        <v>#N/A</v>
      </c>
      <c r="AQ301" s="120" t="e">
        <f t="shared" si="166"/>
        <v>#N/A</v>
      </c>
      <c r="AR301" s="120" t="e">
        <f t="shared" si="194"/>
        <v>#N/A</v>
      </c>
      <c r="AS301" s="121">
        <f t="shared" si="152"/>
        <v>1</v>
      </c>
      <c r="AT301" s="120" t="str">
        <f t="shared" si="153"/>
        <v> </v>
      </c>
      <c r="AU301" s="120" t="str">
        <f t="shared" si="154"/>
        <v> </v>
      </c>
      <c r="AV301" s="120" t="e">
        <f t="shared" si="167"/>
        <v>#N/A</v>
      </c>
      <c r="AW301" s="120" t="e">
        <f t="shared" si="168"/>
        <v>#N/A</v>
      </c>
      <c r="AX301" s="120">
        <f t="shared" si="169"/>
      </c>
      <c r="AY301" s="120" t="e">
        <f t="shared" si="170"/>
        <v>#N/A</v>
      </c>
      <c r="AZ301" s="120" t="e">
        <f>VLOOKUP(AY301,'排出係数表'!$A$4:$C$202,2,FALSE)</f>
        <v>#N/A</v>
      </c>
      <c r="BA301" s="120" t="e">
        <f t="shared" si="171"/>
        <v>#N/A</v>
      </c>
      <c r="BB301" s="120" t="e">
        <f>VLOOKUP(AY301,'排出係数表'!$A$4:$C$202,3,FALSE)</f>
        <v>#N/A</v>
      </c>
      <c r="BC301" s="120" t="e">
        <f t="shared" si="172"/>
        <v>#N/A</v>
      </c>
      <c r="BD301" s="120">
        <f t="shared" si="183"/>
        <v>1</v>
      </c>
      <c r="BE301" s="122">
        <f t="shared" si="173"/>
      </c>
      <c r="BF301" s="123" t="e">
        <f t="shared" si="158"/>
        <v>#VALUE!</v>
      </c>
      <c r="BG301" s="122">
        <f t="shared" si="189"/>
      </c>
      <c r="BH301" s="120" t="e">
        <f t="shared" si="190"/>
        <v>#VALUE!</v>
      </c>
      <c r="BI301" s="120" t="e">
        <f t="shared" si="191"/>
        <v>#VALUE!</v>
      </c>
      <c r="BJ301" s="122" t="e">
        <f>VLOOKUP(AY301,'排出係数表'!$A$4:$D$202,4)</f>
        <v>#N/A</v>
      </c>
      <c r="BK301" s="257">
        <f t="shared" si="193"/>
      </c>
    </row>
    <row r="302" spans="1:63" s="124" customFormat="1" ht="13.5" customHeight="1">
      <c r="A302" s="120"/>
      <c r="B302" s="120"/>
      <c r="C302" s="155"/>
      <c r="D302" s="155"/>
      <c r="E302" s="155"/>
      <c r="F302" s="155"/>
      <c r="G302" s="156"/>
      <c r="H302" s="157"/>
      <c r="I302" s="155"/>
      <c r="J302" s="155"/>
      <c r="K302" s="158"/>
      <c r="L302" s="159"/>
      <c r="M302" s="244"/>
      <c r="N302" s="155"/>
      <c r="O302" s="345">
        <f t="shared" si="174"/>
      </c>
      <c r="P302" s="345">
        <f t="shared" si="160"/>
      </c>
      <c r="Q302" s="508"/>
      <c r="R302" s="346"/>
      <c r="S302" s="347"/>
      <c r="T302" s="348"/>
      <c r="U302" s="347"/>
      <c r="V302" s="348"/>
      <c r="W302" s="347"/>
      <c r="X302" s="348"/>
      <c r="Y302" s="347"/>
      <c r="Z302" s="348"/>
      <c r="AA302" s="340" t="e">
        <f t="shared" si="161"/>
        <v>#N/A</v>
      </c>
      <c r="AB302" s="339">
        <f t="shared" si="175"/>
      </c>
      <c r="AC302" s="339">
        <f t="shared" si="176"/>
      </c>
      <c r="AD302" s="255">
        <f t="shared" si="177"/>
      </c>
      <c r="AE302" s="256">
        <f t="shared" si="178"/>
      </c>
      <c r="AF302" s="256">
        <f t="shared" si="179"/>
      </c>
      <c r="AG302" s="255">
        <f t="shared" si="180"/>
      </c>
      <c r="AH302" s="255">
        <f t="shared" si="162"/>
      </c>
      <c r="AI302" s="255">
        <f t="shared" si="181"/>
      </c>
      <c r="AJ302" s="255">
        <f t="shared" si="182"/>
      </c>
      <c r="AK302" s="255">
        <f t="shared" si="163"/>
      </c>
      <c r="AL302" s="255">
        <f t="shared" si="164"/>
      </c>
      <c r="AM302" s="120">
        <f ca="1" t="shared" si="155"/>
        <v>0</v>
      </c>
      <c r="AN302" s="120" t="e">
        <f t="shared" si="165"/>
        <v>#N/A</v>
      </c>
      <c r="AO302" s="120">
        <f>ROWS($AO$4:AO302)-1</f>
        <v>298</v>
      </c>
      <c r="AP302" s="255" t="e">
        <f t="shared" si="156"/>
        <v>#N/A</v>
      </c>
      <c r="AQ302" s="120" t="e">
        <f t="shared" si="166"/>
        <v>#N/A</v>
      </c>
      <c r="AR302" s="120" t="e">
        <f t="shared" si="194"/>
        <v>#N/A</v>
      </c>
      <c r="AS302" s="121">
        <f t="shared" si="152"/>
        <v>1</v>
      </c>
      <c r="AT302" s="120" t="str">
        <f t="shared" si="153"/>
        <v> </v>
      </c>
      <c r="AU302" s="120" t="str">
        <f t="shared" si="154"/>
        <v> </v>
      </c>
      <c r="AV302" s="120" t="e">
        <f t="shared" si="167"/>
        <v>#N/A</v>
      </c>
      <c r="AW302" s="120" t="e">
        <f t="shared" si="168"/>
        <v>#N/A</v>
      </c>
      <c r="AX302" s="120">
        <f t="shared" si="169"/>
      </c>
      <c r="AY302" s="120" t="e">
        <f t="shared" si="170"/>
        <v>#N/A</v>
      </c>
      <c r="AZ302" s="120" t="e">
        <f>VLOOKUP(AY302,'排出係数表'!$A$4:$C$202,2,FALSE)</f>
        <v>#N/A</v>
      </c>
      <c r="BA302" s="120" t="e">
        <f t="shared" si="171"/>
        <v>#N/A</v>
      </c>
      <c r="BB302" s="120" t="e">
        <f>VLOOKUP(AY302,'排出係数表'!$A$4:$C$202,3,FALSE)</f>
        <v>#N/A</v>
      </c>
      <c r="BC302" s="120" t="e">
        <f t="shared" si="172"/>
        <v>#N/A</v>
      </c>
      <c r="BD302" s="120">
        <f t="shared" si="183"/>
        <v>1</v>
      </c>
      <c r="BE302" s="122">
        <f t="shared" si="173"/>
      </c>
      <c r="BF302" s="123" t="e">
        <f t="shared" si="158"/>
        <v>#VALUE!</v>
      </c>
      <c r="BG302" s="122">
        <f t="shared" si="189"/>
      </c>
      <c r="BH302" s="120" t="e">
        <f t="shared" si="190"/>
        <v>#VALUE!</v>
      </c>
      <c r="BI302" s="120" t="e">
        <f t="shared" si="191"/>
        <v>#VALUE!</v>
      </c>
      <c r="BJ302" s="122" t="e">
        <f>VLOOKUP(AY302,'排出係数表'!$A$4:$D$202,4)</f>
        <v>#N/A</v>
      </c>
      <c r="BK302" s="257">
        <f t="shared" si="193"/>
      </c>
    </row>
    <row r="303" spans="1:63" s="124" customFormat="1" ht="13.5" customHeight="1">
      <c r="A303" s="120"/>
      <c r="B303" s="120"/>
      <c r="C303" s="155"/>
      <c r="D303" s="155"/>
      <c r="E303" s="155"/>
      <c r="F303" s="155"/>
      <c r="G303" s="156"/>
      <c r="H303" s="157"/>
      <c r="I303" s="155"/>
      <c r="J303" s="155"/>
      <c r="K303" s="158"/>
      <c r="L303" s="159"/>
      <c r="M303" s="244"/>
      <c r="N303" s="155"/>
      <c r="O303" s="345">
        <f t="shared" si="174"/>
      </c>
      <c r="P303" s="345">
        <f t="shared" si="160"/>
      </c>
      <c r="Q303" s="508"/>
      <c r="R303" s="346"/>
      <c r="S303" s="347"/>
      <c r="T303" s="348"/>
      <c r="U303" s="347"/>
      <c r="V303" s="348"/>
      <c r="W303" s="347"/>
      <c r="X303" s="348"/>
      <c r="Y303" s="347"/>
      <c r="Z303" s="348"/>
      <c r="AA303" s="340" t="e">
        <f t="shared" si="161"/>
        <v>#N/A</v>
      </c>
      <c r="AB303" s="339">
        <f t="shared" si="175"/>
      </c>
      <c r="AC303" s="339">
        <f t="shared" si="176"/>
      </c>
      <c r="AD303" s="255">
        <f t="shared" si="177"/>
      </c>
      <c r="AE303" s="256">
        <f t="shared" si="178"/>
      </c>
      <c r="AF303" s="256">
        <f t="shared" si="179"/>
      </c>
      <c r="AG303" s="255">
        <f t="shared" si="180"/>
      </c>
      <c r="AH303" s="255">
        <f t="shared" si="162"/>
      </c>
      <c r="AI303" s="255">
        <f t="shared" si="181"/>
      </c>
      <c r="AJ303" s="255">
        <f t="shared" si="182"/>
      </c>
      <c r="AK303" s="255">
        <f t="shared" si="163"/>
      </c>
      <c r="AL303" s="255">
        <f t="shared" si="164"/>
      </c>
      <c r="AM303" s="120">
        <f ca="1" t="shared" si="155"/>
        <v>0</v>
      </c>
      <c r="AN303" s="120" t="e">
        <f t="shared" si="165"/>
        <v>#N/A</v>
      </c>
      <c r="AO303" s="120">
        <f>ROWS($AO$4:AO303)-1</f>
        <v>299</v>
      </c>
      <c r="AP303" s="255" t="e">
        <f t="shared" si="156"/>
        <v>#N/A</v>
      </c>
      <c r="AQ303" s="120" t="e">
        <f t="shared" si="166"/>
        <v>#N/A</v>
      </c>
      <c r="AR303" s="120" t="e">
        <f t="shared" si="194"/>
        <v>#N/A</v>
      </c>
      <c r="AS303" s="121">
        <f t="shared" si="152"/>
        <v>1</v>
      </c>
      <c r="AT303" s="120" t="str">
        <f t="shared" si="153"/>
        <v> </v>
      </c>
      <c r="AU303" s="120" t="str">
        <f t="shared" si="154"/>
        <v> </v>
      </c>
      <c r="AV303" s="120" t="e">
        <f t="shared" si="167"/>
        <v>#N/A</v>
      </c>
      <c r="AW303" s="120" t="e">
        <f t="shared" si="168"/>
        <v>#N/A</v>
      </c>
      <c r="AX303" s="120">
        <f t="shared" si="169"/>
      </c>
      <c r="AY303" s="120" t="e">
        <f t="shared" si="170"/>
        <v>#N/A</v>
      </c>
      <c r="AZ303" s="120" t="e">
        <f>VLOOKUP(AY303,'排出係数表'!$A$4:$C$202,2,FALSE)</f>
        <v>#N/A</v>
      </c>
      <c r="BA303" s="120" t="e">
        <f t="shared" si="171"/>
        <v>#N/A</v>
      </c>
      <c r="BB303" s="120" t="e">
        <f>VLOOKUP(AY303,'排出係数表'!$A$4:$C$202,3,FALSE)</f>
        <v>#N/A</v>
      </c>
      <c r="BC303" s="120" t="e">
        <f t="shared" si="172"/>
        <v>#N/A</v>
      </c>
      <c r="BD303" s="120">
        <f t="shared" si="183"/>
        <v>1</v>
      </c>
      <c r="BE303" s="122">
        <f t="shared" si="173"/>
      </c>
      <c r="BF303" s="123" t="e">
        <f t="shared" si="158"/>
        <v>#VALUE!</v>
      </c>
      <c r="BG303" s="122">
        <f t="shared" si="189"/>
      </c>
      <c r="BH303" s="120" t="e">
        <f t="shared" si="190"/>
        <v>#VALUE!</v>
      </c>
      <c r="BI303" s="120" t="e">
        <f t="shared" si="191"/>
        <v>#VALUE!</v>
      </c>
      <c r="BJ303" s="122" t="e">
        <f>VLOOKUP(AY303,'排出係数表'!$A$4:$D$202,4)</f>
        <v>#N/A</v>
      </c>
      <c r="BK303" s="257">
        <f t="shared" si="193"/>
      </c>
    </row>
    <row r="304" spans="1:63" s="124" customFormat="1" ht="13.5" customHeight="1">
      <c r="A304" s="120"/>
      <c r="B304" s="120"/>
      <c r="C304" s="155"/>
      <c r="D304" s="155"/>
      <c r="E304" s="155"/>
      <c r="F304" s="155"/>
      <c r="G304" s="156"/>
      <c r="H304" s="157"/>
      <c r="I304" s="155"/>
      <c r="J304" s="155"/>
      <c r="K304" s="158"/>
      <c r="L304" s="159"/>
      <c r="M304" s="244"/>
      <c r="N304" s="155"/>
      <c r="O304" s="345">
        <f t="shared" si="174"/>
      </c>
      <c r="P304" s="345">
        <f t="shared" si="160"/>
      </c>
      <c r="Q304" s="508"/>
      <c r="R304" s="346"/>
      <c r="S304" s="347"/>
      <c r="T304" s="348"/>
      <c r="U304" s="347"/>
      <c r="V304" s="348"/>
      <c r="W304" s="347"/>
      <c r="X304" s="348"/>
      <c r="Y304" s="347"/>
      <c r="Z304" s="348"/>
      <c r="AA304" s="340" t="e">
        <f t="shared" si="161"/>
        <v>#N/A</v>
      </c>
      <c r="AB304" s="339">
        <f t="shared" si="175"/>
      </c>
      <c r="AC304" s="339">
        <f t="shared" si="176"/>
      </c>
      <c r="AD304" s="255">
        <f t="shared" si="177"/>
      </c>
      <c r="AE304" s="256">
        <f t="shared" si="178"/>
      </c>
      <c r="AF304" s="256">
        <f t="shared" si="179"/>
      </c>
      <c r="AG304" s="255">
        <f t="shared" si="180"/>
      </c>
      <c r="AH304" s="255">
        <f t="shared" si="162"/>
      </c>
      <c r="AI304" s="255">
        <f t="shared" si="181"/>
      </c>
      <c r="AJ304" s="255">
        <f t="shared" si="182"/>
      </c>
      <c r="AK304" s="255">
        <f t="shared" si="163"/>
      </c>
      <c r="AL304" s="255">
        <f t="shared" si="164"/>
      </c>
      <c r="AM304" s="120">
        <f ca="1">COUNTIF(OFFSET($AK$5,,,AO304,1),1)</f>
        <v>0</v>
      </c>
      <c r="AN304" s="120" t="e">
        <f t="shared" si="165"/>
        <v>#N/A</v>
      </c>
      <c r="AO304" s="120">
        <f>ROWS($AO$4:AO304)-1</f>
        <v>300</v>
      </c>
      <c r="AP304" s="255" t="e">
        <f>AN304-AO304</f>
        <v>#N/A</v>
      </c>
      <c r="AQ304" s="120" t="e">
        <f t="shared" si="166"/>
        <v>#N/A</v>
      </c>
      <c r="AR304" s="120" t="e">
        <f t="shared" si="194"/>
        <v>#N/A</v>
      </c>
      <c r="AS304" s="121">
        <f>IF(I304&gt;3500,I304/1000,1)</f>
        <v>1</v>
      </c>
      <c r="AT304" s="120" t="str">
        <f>IF(ISBLANK(F304)=TRUE," ",IF(LEFT(F304,1)="4",0,IF(I304&lt;=1700,1,IF(I304&lt;=2500,2,IF(I304&lt;=3500,3,4)))))</f>
        <v> </v>
      </c>
      <c r="AU304" s="120" t="str">
        <f>IF(ISBLANK(J304)=TRUE," ",IF(LEFT(F304,1)="1",IF(I304&lt;=3500,1,IF(I304&lt;=5000,2,3)),IF(LEFT(F304,1)="6",IF(I304&lt;=3500,1,IF(I304&lt;=5000,2,3)),"")))</f>
        <v> </v>
      </c>
      <c r="AV304" s="120" t="e">
        <f t="shared" si="167"/>
        <v>#N/A</v>
      </c>
      <c r="AW304" s="120" t="e">
        <f t="shared" si="168"/>
        <v>#N/A</v>
      </c>
      <c r="AX304" s="120">
        <f t="shared" si="169"/>
      </c>
      <c r="AY304" s="120" t="e">
        <f t="shared" si="170"/>
        <v>#N/A</v>
      </c>
      <c r="AZ304" s="120" t="e">
        <f>VLOOKUP(AY304,'排出係数表'!$A$4:$C$202,2,FALSE)</f>
        <v>#N/A</v>
      </c>
      <c r="BA304" s="120" t="e">
        <f t="shared" si="171"/>
        <v>#N/A</v>
      </c>
      <c r="BB304" s="120" t="e">
        <f>VLOOKUP(AY304,'排出係数表'!$A$4:$C$202,3,FALSE)</f>
        <v>#N/A</v>
      </c>
      <c r="BC304" s="120" t="e">
        <f t="shared" si="172"/>
        <v>#N/A</v>
      </c>
      <c r="BD304" s="120">
        <f t="shared" si="183"/>
        <v>1</v>
      </c>
      <c r="BE304" s="122">
        <f t="shared" si="173"/>
      </c>
      <c r="BF304" s="123" t="e">
        <f>VALUE(LEFT(J304,2))</f>
        <v>#VALUE!</v>
      </c>
      <c r="BG304" s="122">
        <f t="shared" si="189"/>
      </c>
      <c r="BH304" s="120" t="e">
        <f t="shared" si="190"/>
        <v>#VALUE!</v>
      </c>
      <c r="BI304" s="120" t="e">
        <f t="shared" si="191"/>
        <v>#VALUE!</v>
      </c>
      <c r="BJ304" s="122" t="e">
        <f>VLOOKUP(AY304,'排出係数表'!$A$4:$D$202,4)</f>
        <v>#N/A</v>
      </c>
      <c r="BK304" s="257">
        <f t="shared" si="193"/>
      </c>
    </row>
    <row r="305" spans="27:69" ht="13.5">
      <c r="AA305" s="124"/>
      <c r="AB305" s="124"/>
      <c r="AC305" s="124"/>
      <c r="BI305" s="124"/>
      <c r="BJ305" s="124"/>
      <c r="BK305" s="124"/>
      <c r="BL305" s="124"/>
      <c r="BM305" s="124"/>
      <c r="BN305" s="124"/>
      <c r="BO305" s="124"/>
      <c r="BP305" s="124"/>
      <c r="BQ305" s="124"/>
    </row>
    <row r="306" spans="8:66" ht="13.5" hidden="1">
      <c r="H306" s="337" t="s">
        <v>691</v>
      </c>
      <c r="K306" s="124"/>
      <c r="L306" s="124" t="s">
        <v>133</v>
      </c>
      <c r="M306" s="124" t="s">
        <v>134</v>
      </c>
      <c r="N306" s="124"/>
      <c r="AA306" s="124"/>
      <c r="AB306" s="124"/>
      <c r="AC306" s="124"/>
      <c r="BI306" s="124"/>
      <c r="BJ306" s="124"/>
      <c r="BK306" s="124"/>
      <c r="BL306" s="124"/>
      <c r="BM306" s="124"/>
      <c r="BN306" s="124"/>
    </row>
    <row r="307" spans="8:65" ht="13.5" hidden="1">
      <c r="H307" s="114" t="s">
        <v>692</v>
      </c>
      <c r="I307" s="112">
        <v>0.3</v>
      </c>
      <c r="K307" s="124" t="s">
        <v>232</v>
      </c>
      <c r="L307" s="124" t="s">
        <v>214</v>
      </c>
      <c r="M307" s="124" t="s">
        <v>214</v>
      </c>
      <c r="N307" s="124"/>
      <c r="AA307" s="124"/>
      <c r="AB307" s="124"/>
      <c r="AC307" s="124"/>
      <c r="BI307" s="124"/>
      <c r="BJ307" s="124"/>
      <c r="BK307" s="124"/>
      <c r="BL307" s="124"/>
      <c r="BM307" s="124"/>
    </row>
    <row r="308" spans="8:65" ht="13.5" hidden="1">
      <c r="H308" s="114" t="s">
        <v>693</v>
      </c>
      <c r="I308" s="112">
        <v>0.3</v>
      </c>
      <c r="K308" s="124" t="s">
        <v>233</v>
      </c>
      <c r="L308" s="124" t="s">
        <v>214</v>
      </c>
      <c r="M308" s="124" t="s">
        <v>195</v>
      </c>
      <c r="N308" s="124"/>
      <c r="AA308" s="124"/>
      <c r="AB308" s="124"/>
      <c r="AC308" s="124"/>
      <c r="BI308" s="124"/>
      <c r="BJ308" s="124"/>
      <c r="BK308" s="124"/>
      <c r="BL308" s="124"/>
      <c r="BM308" s="124"/>
    </row>
    <row r="309" spans="8:65" ht="13.5" hidden="1">
      <c r="H309" s="114" t="s">
        <v>694</v>
      </c>
      <c r="I309" s="112">
        <v>0.3</v>
      </c>
      <c r="K309" s="124" t="s">
        <v>256</v>
      </c>
      <c r="L309" s="124" t="s">
        <v>214</v>
      </c>
      <c r="M309" s="124" t="s">
        <v>138</v>
      </c>
      <c r="N309" s="124"/>
      <c r="AA309" s="124"/>
      <c r="AB309" s="124"/>
      <c r="AC309" s="124"/>
      <c r="BI309" s="124"/>
      <c r="BJ309" s="124"/>
      <c r="BK309" s="124"/>
      <c r="BM309" s="124"/>
    </row>
    <row r="310" spans="8:65" ht="13.5" hidden="1">
      <c r="H310" s="114" t="s">
        <v>695</v>
      </c>
      <c r="I310" s="112">
        <v>0.3</v>
      </c>
      <c r="K310" s="124" t="s">
        <v>141</v>
      </c>
      <c r="L310" s="124" t="s">
        <v>213</v>
      </c>
      <c r="M310" s="124" t="s">
        <v>213</v>
      </c>
      <c r="N310" s="124"/>
      <c r="AA310" s="124"/>
      <c r="AB310" s="124"/>
      <c r="AC310" s="124"/>
      <c r="BI310" s="124"/>
      <c r="BJ310" s="124"/>
      <c r="BK310" s="124"/>
      <c r="BM310" s="124"/>
    </row>
    <row r="311" spans="8:65" ht="13.5" hidden="1">
      <c r="H311" s="114" t="s">
        <v>696</v>
      </c>
      <c r="I311" s="112">
        <v>0.3</v>
      </c>
      <c r="K311" s="124" t="s">
        <v>147</v>
      </c>
      <c r="L311" s="124" t="s">
        <v>213</v>
      </c>
      <c r="M311" s="124" t="s">
        <v>213</v>
      </c>
      <c r="N311" s="124"/>
      <c r="AA311" s="124"/>
      <c r="AB311" s="124"/>
      <c r="AC311" s="124"/>
      <c r="BJ311" s="124"/>
      <c r="BK311" s="124"/>
      <c r="BM311" s="124"/>
    </row>
    <row r="312" spans="8:65" ht="13.5" hidden="1">
      <c r="H312" s="114" t="s">
        <v>697</v>
      </c>
      <c r="I312" s="112">
        <v>0.3</v>
      </c>
      <c r="K312" s="124" t="s">
        <v>148</v>
      </c>
      <c r="L312" s="124" t="s">
        <v>214</v>
      </c>
      <c r="M312" s="124" t="s">
        <v>214</v>
      </c>
      <c r="N312" s="124"/>
      <c r="AA312" s="124"/>
      <c r="AB312" s="124"/>
      <c r="AC312" s="124"/>
      <c r="BM312" s="124"/>
    </row>
    <row r="313" spans="8:29" ht="13.5" hidden="1">
      <c r="H313" s="114" t="s">
        <v>348</v>
      </c>
      <c r="I313" s="112">
        <v>0.7</v>
      </c>
      <c r="K313" s="124" t="s">
        <v>149</v>
      </c>
      <c r="L313" s="124" t="s">
        <v>214</v>
      </c>
      <c r="M313" s="124" t="s">
        <v>195</v>
      </c>
      <c r="N313" s="124"/>
      <c r="AA313" s="124"/>
      <c r="AB313" s="124"/>
      <c r="AC313" s="124"/>
    </row>
    <row r="314" spans="8:29" ht="13.5" hidden="1">
      <c r="H314" s="114" t="s">
        <v>366</v>
      </c>
      <c r="I314" s="112">
        <v>0.4</v>
      </c>
      <c r="K314" s="124" t="s">
        <v>150</v>
      </c>
      <c r="L314" s="124" t="s">
        <v>214</v>
      </c>
      <c r="M314" s="124" t="s">
        <v>140</v>
      </c>
      <c r="N314" s="124"/>
      <c r="AA314" s="124"/>
      <c r="AB314" s="124"/>
      <c r="AC314" s="124"/>
    </row>
    <row r="315" spans="8:29" ht="13.5" hidden="1">
      <c r="H315" s="114" t="s">
        <v>43</v>
      </c>
      <c r="I315" s="112">
        <v>0.4</v>
      </c>
      <c r="K315" s="124"/>
      <c r="L315" s="124"/>
      <c r="M315" s="124"/>
      <c r="N315" s="124"/>
      <c r="AA315" s="124"/>
      <c r="AB315" s="124"/>
      <c r="AC315" s="124"/>
    </row>
    <row r="316" spans="8:14" ht="13.5" hidden="1">
      <c r="H316" s="114" t="s">
        <v>44</v>
      </c>
      <c r="I316" s="112">
        <v>0.4</v>
      </c>
      <c r="K316" s="124"/>
      <c r="L316" s="124"/>
      <c r="M316" s="124" t="s">
        <v>662</v>
      </c>
      <c r="N316" s="124" t="s">
        <v>663</v>
      </c>
    </row>
    <row r="317" spans="8:14" ht="13.5" hidden="1">
      <c r="H317" s="114" t="s">
        <v>698</v>
      </c>
      <c r="I317" s="112">
        <v>0.3</v>
      </c>
      <c r="J317" s="125" t="s">
        <v>13</v>
      </c>
      <c r="K317" s="125" t="s">
        <v>13</v>
      </c>
      <c r="L317" s="124" t="s">
        <v>259</v>
      </c>
      <c r="M317" s="124">
        <v>1</v>
      </c>
      <c r="N317" s="124">
        <v>0</v>
      </c>
    </row>
    <row r="318" spans="8:14" ht="13.5" hidden="1">
      <c r="H318" s="114" t="s">
        <v>699</v>
      </c>
      <c r="I318" s="112">
        <v>0.3</v>
      </c>
      <c r="J318" s="127" t="s">
        <v>634</v>
      </c>
      <c r="K318" s="127" t="s">
        <v>24</v>
      </c>
      <c r="L318" s="124" t="s">
        <v>144</v>
      </c>
      <c r="M318" s="124">
        <v>0.5</v>
      </c>
      <c r="N318" s="124">
        <v>0</v>
      </c>
    </row>
    <row r="319" spans="8:14" ht="13.5" hidden="1">
      <c r="H319" s="114" t="s">
        <v>700</v>
      </c>
      <c r="I319" s="112">
        <v>0.3</v>
      </c>
      <c r="J319" s="127" t="s">
        <v>142</v>
      </c>
      <c r="K319" s="127" t="s">
        <v>142</v>
      </c>
      <c r="L319" s="124" t="s">
        <v>215</v>
      </c>
      <c r="M319" s="124">
        <v>0.8</v>
      </c>
      <c r="N319" s="124">
        <v>0.8</v>
      </c>
    </row>
    <row r="320" spans="8:14" ht="13.5" hidden="1">
      <c r="H320" s="114" t="s">
        <v>701</v>
      </c>
      <c r="I320" s="112">
        <v>0.3</v>
      </c>
      <c r="J320" s="127" t="s">
        <v>143</v>
      </c>
      <c r="K320" s="127" t="s">
        <v>143</v>
      </c>
      <c r="L320" s="124" t="s">
        <v>231</v>
      </c>
      <c r="M320" s="124">
        <v>0</v>
      </c>
      <c r="N320" s="124">
        <v>0</v>
      </c>
    </row>
    <row r="321" spans="8:14" ht="13.5" hidden="1">
      <c r="H321" s="114" t="s">
        <v>702</v>
      </c>
      <c r="I321" s="112">
        <v>0.3</v>
      </c>
      <c r="J321" s="127" t="s">
        <v>635</v>
      </c>
      <c r="K321" s="127" t="s">
        <v>25</v>
      </c>
      <c r="L321" s="124" t="s">
        <v>157</v>
      </c>
      <c r="M321" s="124">
        <v>0.5</v>
      </c>
      <c r="N321" s="124">
        <v>0</v>
      </c>
    </row>
    <row r="322" spans="8:14" ht="13.5" hidden="1">
      <c r="H322" s="114" t="s">
        <v>703</v>
      </c>
      <c r="I322" s="112">
        <v>0.3</v>
      </c>
      <c r="J322" s="127" t="s">
        <v>14</v>
      </c>
      <c r="K322" s="127" t="s">
        <v>15</v>
      </c>
      <c r="L322" s="124" t="s">
        <v>145</v>
      </c>
      <c r="M322" s="124">
        <v>0.25</v>
      </c>
      <c r="N322" s="124">
        <v>0</v>
      </c>
    </row>
    <row r="323" spans="8:14" ht="13.5" hidden="1">
      <c r="H323" s="114" t="s">
        <v>704</v>
      </c>
      <c r="I323" s="112">
        <v>0.7</v>
      </c>
      <c r="J323" s="127" t="s">
        <v>15</v>
      </c>
      <c r="K323" s="127" t="s">
        <v>14</v>
      </c>
      <c r="L323" s="124" t="s">
        <v>145</v>
      </c>
      <c r="M323" s="124">
        <v>0.25</v>
      </c>
      <c r="N323" s="124">
        <v>0</v>
      </c>
    </row>
    <row r="324" spans="8:14" ht="13.5" hidden="1">
      <c r="H324" s="114" t="s">
        <v>705</v>
      </c>
      <c r="I324" s="112">
        <v>0.7</v>
      </c>
      <c r="J324" s="127" t="s">
        <v>16</v>
      </c>
      <c r="K324" s="127" t="s">
        <v>17</v>
      </c>
      <c r="L324" s="124" t="s">
        <v>145</v>
      </c>
      <c r="M324" s="124">
        <v>0.5</v>
      </c>
      <c r="N324" s="124">
        <v>0</v>
      </c>
    </row>
    <row r="325" spans="8:14" ht="13.5" hidden="1">
      <c r="H325" s="114" t="s">
        <v>360</v>
      </c>
      <c r="I325" s="112">
        <v>0.7</v>
      </c>
      <c r="J325" s="127" t="s">
        <v>17</v>
      </c>
      <c r="K325" s="127" t="s">
        <v>16</v>
      </c>
      <c r="L325" s="124" t="s">
        <v>145</v>
      </c>
      <c r="M325" s="124">
        <v>0.5</v>
      </c>
      <c r="N325" s="124">
        <v>0</v>
      </c>
    </row>
    <row r="326" spans="8:14" ht="13.5" hidden="1">
      <c r="H326" s="114" t="s">
        <v>706</v>
      </c>
      <c r="I326" s="112">
        <v>0.7</v>
      </c>
      <c r="J326" s="127" t="s">
        <v>18</v>
      </c>
      <c r="K326" s="127" t="s">
        <v>19</v>
      </c>
      <c r="L326" s="124" t="s">
        <v>145</v>
      </c>
      <c r="M326" s="124">
        <v>0.75</v>
      </c>
      <c r="N326" s="124">
        <v>0</v>
      </c>
    </row>
    <row r="327" spans="8:14" ht="13.5" hidden="1">
      <c r="H327" s="114" t="s">
        <v>707</v>
      </c>
      <c r="I327" s="112">
        <v>0.7</v>
      </c>
      <c r="J327" s="127" t="s">
        <v>19</v>
      </c>
      <c r="K327" s="127" t="s">
        <v>18</v>
      </c>
      <c r="L327" s="124" t="s">
        <v>145</v>
      </c>
      <c r="M327" s="124">
        <v>0.75</v>
      </c>
      <c r="N327" s="124">
        <v>0</v>
      </c>
    </row>
    <row r="328" spans="10:14" ht="13.5" hidden="1">
      <c r="J328" s="127" t="s">
        <v>20</v>
      </c>
      <c r="K328" s="127" t="s">
        <v>21</v>
      </c>
      <c r="L328" s="124" t="s">
        <v>145</v>
      </c>
      <c r="M328" s="124">
        <v>1</v>
      </c>
      <c r="N328" s="124">
        <v>0</v>
      </c>
    </row>
    <row r="329" spans="10:14" ht="13.5" hidden="1">
      <c r="J329" s="127" t="s">
        <v>21</v>
      </c>
      <c r="K329" s="127" t="s">
        <v>20</v>
      </c>
      <c r="L329" s="124" t="s">
        <v>145</v>
      </c>
      <c r="M329" s="124">
        <v>1</v>
      </c>
      <c r="N329" s="124">
        <v>0</v>
      </c>
    </row>
    <row r="330" spans="10:14" ht="13.5" hidden="1">
      <c r="J330" s="127" t="s">
        <v>201</v>
      </c>
      <c r="K330" s="127" t="s">
        <v>22</v>
      </c>
      <c r="L330" s="124" t="s">
        <v>145</v>
      </c>
      <c r="M330" s="124">
        <v>1</v>
      </c>
      <c r="N330" s="124">
        <v>0</v>
      </c>
    </row>
    <row r="331" spans="10:14" ht="13.5" hidden="1">
      <c r="J331" s="127" t="s">
        <v>22</v>
      </c>
      <c r="K331" s="127" t="s">
        <v>201</v>
      </c>
      <c r="L331" s="124" t="s">
        <v>139</v>
      </c>
      <c r="M331" s="124">
        <v>1</v>
      </c>
      <c r="N331" s="124">
        <v>0</v>
      </c>
    </row>
    <row r="332" spans="10:14" ht="13.5" hidden="1">
      <c r="J332" s="127" t="s">
        <v>23</v>
      </c>
      <c r="K332" s="127" t="s">
        <v>23</v>
      </c>
      <c r="L332" s="124" t="s">
        <v>215</v>
      </c>
      <c r="M332" s="124">
        <v>1</v>
      </c>
      <c r="N332" s="124">
        <v>1</v>
      </c>
    </row>
    <row r="333" spans="10:14" ht="13.5" hidden="1">
      <c r="J333" s="127" t="s">
        <v>257</v>
      </c>
      <c r="K333" s="127" t="s">
        <v>257</v>
      </c>
      <c r="L333" s="124" t="s">
        <v>215</v>
      </c>
      <c r="M333" s="124">
        <v>1</v>
      </c>
      <c r="N333" s="124">
        <v>1</v>
      </c>
    </row>
    <row r="334" spans="11:14" ht="13.5" hidden="1">
      <c r="K334" s="129"/>
      <c r="L334" s="124"/>
      <c r="M334" s="124"/>
      <c r="N334" s="124"/>
    </row>
    <row r="335" spans="11:14" ht="13.5" hidden="1">
      <c r="K335" s="124" t="s">
        <v>308</v>
      </c>
      <c r="L335" s="124"/>
      <c r="M335" s="124"/>
      <c r="N335" s="124"/>
    </row>
    <row r="336" spans="11:14" ht="13.5" hidden="1">
      <c r="K336" s="124" t="s">
        <v>283</v>
      </c>
      <c r="L336" s="124">
        <v>14</v>
      </c>
      <c r="M336" s="129" t="s">
        <v>284</v>
      </c>
      <c r="N336" s="124" t="s">
        <v>682</v>
      </c>
    </row>
    <row r="337" spans="11:14" ht="13.5" hidden="1">
      <c r="K337" s="124" t="s">
        <v>285</v>
      </c>
      <c r="L337" s="124">
        <v>15</v>
      </c>
      <c r="M337" s="129" t="s">
        <v>286</v>
      </c>
      <c r="N337" s="124" t="s">
        <v>683</v>
      </c>
    </row>
    <row r="338" spans="11:14" ht="13.5" hidden="1">
      <c r="K338" s="124" t="s">
        <v>287</v>
      </c>
      <c r="L338" s="124">
        <v>16</v>
      </c>
      <c r="M338" s="129" t="s">
        <v>288</v>
      </c>
      <c r="N338" s="124" t="s">
        <v>684</v>
      </c>
    </row>
    <row r="339" spans="11:14" ht="13.5" hidden="1">
      <c r="K339" s="124" t="s">
        <v>289</v>
      </c>
      <c r="L339" s="124">
        <v>17</v>
      </c>
      <c r="M339" s="129" t="s">
        <v>290</v>
      </c>
      <c r="N339" s="124" t="s">
        <v>685</v>
      </c>
    </row>
    <row r="340" spans="11:14" ht="13.5" hidden="1">
      <c r="K340" s="124"/>
      <c r="L340" s="124"/>
      <c r="M340" s="124"/>
      <c r="N340" s="124"/>
    </row>
    <row r="341" spans="11:14" ht="13.5" hidden="1">
      <c r="K341" s="129" t="s">
        <v>636</v>
      </c>
      <c r="L341" s="124"/>
      <c r="M341" s="124"/>
      <c r="N341" s="124"/>
    </row>
    <row r="342" spans="11:14" ht="13.5" hidden="1">
      <c r="K342" s="129" t="s">
        <v>637</v>
      </c>
      <c r="L342" s="124"/>
      <c r="M342" s="124"/>
      <c r="N342" s="124"/>
    </row>
    <row r="343" spans="11:14" ht="13.5" hidden="1">
      <c r="K343" s="129" t="s">
        <v>638</v>
      </c>
      <c r="L343" s="124"/>
      <c r="M343" s="124"/>
      <c r="N343" s="124"/>
    </row>
    <row r="344" spans="11:14" ht="13.5" hidden="1">
      <c r="K344" s="129" t="s">
        <v>282</v>
      </c>
      <c r="L344" s="124"/>
      <c r="M344" s="124"/>
      <c r="N344" s="124"/>
    </row>
    <row r="345" spans="11:14" ht="13.5" hidden="1">
      <c r="K345" s="129" t="s">
        <v>228</v>
      </c>
      <c r="L345" s="124"/>
      <c r="M345" s="124" t="s">
        <v>229</v>
      </c>
      <c r="N345" s="124"/>
    </row>
    <row r="346" spans="11:14" ht="13.5" hidden="1">
      <c r="K346" s="129" t="s">
        <v>227</v>
      </c>
      <c r="L346" s="124"/>
      <c r="M346" s="124" t="s">
        <v>664</v>
      </c>
      <c r="N346" s="124"/>
    </row>
    <row r="347" spans="11:14" ht="13.5" hidden="1">
      <c r="K347" s="129" t="s">
        <v>639</v>
      </c>
      <c r="L347" s="124"/>
      <c r="M347" s="124" t="s">
        <v>665</v>
      </c>
      <c r="N347" s="124"/>
    </row>
    <row r="348" spans="11:14" ht="13.5" hidden="1">
      <c r="K348" s="129" t="s">
        <v>226</v>
      </c>
      <c r="L348" s="124"/>
      <c r="M348" s="124" t="s">
        <v>666</v>
      </c>
      <c r="N348" s="124"/>
    </row>
    <row r="349" spans="11:14" ht="13.5" hidden="1">
      <c r="K349" s="129" t="s">
        <v>225</v>
      </c>
      <c r="L349" s="124"/>
      <c r="M349" s="124" t="s">
        <v>667</v>
      </c>
      <c r="N349" s="124"/>
    </row>
    <row r="350" spans="11:14" ht="13.5" hidden="1">
      <c r="K350" s="129" t="s">
        <v>224</v>
      </c>
      <c r="L350" s="124"/>
      <c r="M350" s="124" t="s">
        <v>668</v>
      </c>
      <c r="N350" s="124"/>
    </row>
    <row r="351" spans="11:14" ht="13.5" hidden="1">
      <c r="K351" s="129" t="s">
        <v>223</v>
      </c>
      <c r="L351" s="124"/>
      <c r="M351" s="124" t="s">
        <v>669</v>
      </c>
      <c r="N351" s="124"/>
    </row>
    <row r="352" spans="11:14" ht="13.5" hidden="1">
      <c r="K352" s="129" t="s">
        <v>640</v>
      </c>
      <c r="L352" s="124"/>
      <c r="M352" s="124" t="s">
        <v>670</v>
      </c>
      <c r="N352" s="124"/>
    </row>
    <row r="353" spans="11:14" ht="13.5" hidden="1">
      <c r="K353" s="129" t="s">
        <v>641</v>
      </c>
      <c r="L353" s="124"/>
      <c r="M353" s="124" t="s">
        <v>671</v>
      </c>
      <c r="N353" s="124"/>
    </row>
    <row r="354" spans="11:14" ht="13.5" hidden="1">
      <c r="K354" s="129" t="s">
        <v>642</v>
      </c>
      <c r="L354" s="124"/>
      <c r="M354" s="124" t="s">
        <v>219</v>
      </c>
      <c r="N354" s="124"/>
    </row>
    <row r="355" spans="11:13" ht="13.5" hidden="1">
      <c r="K355" s="129" t="s">
        <v>643</v>
      </c>
      <c r="L355" s="124"/>
      <c r="M355" s="124" t="s">
        <v>220</v>
      </c>
    </row>
    <row r="356" spans="11:13" ht="13.5" hidden="1">
      <c r="K356" s="129" t="s">
        <v>644</v>
      </c>
      <c r="L356" s="124"/>
      <c r="M356" s="124" t="s">
        <v>221</v>
      </c>
    </row>
    <row r="357" spans="11:13" ht="13.5" hidden="1">
      <c r="K357" s="129" t="s">
        <v>645</v>
      </c>
      <c r="L357" s="124"/>
      <c r="M357" s="124"/>
    </row>
    <row r="358" spans="11:13" ht="13.5" hidden="1">
      <c r="K358" s="129" t="s">
        <v>646</v>
      </c>
      <c r="L358" s="124"/>
      <c r="M358" s="124"/>
    </row>
    <row r="359" spans="11:13" ht="13.5" hidden="1">
      <c r="K359" s="129" t="s">
        <v>647</v>
      </c>
      <c r="L359" s="124"/>
      <c r="M359" s="124"/>
    </row>
    <row r="360" spans="11:13" ht="13.5" hidden="1">
      <c r="K360" s="129" t="s">
        <v>648</v>
      </c>
      <c r="L360" s="124"/>
      <c r="M360" s="124"/>
    </row>
    <row r="361" spans="11:13" ht="13.5" hidden="1">
      <c r="K361" s="129" t="s">
        <v>649</v>
      </c>
      <c r="L361" s="124"/>
      <c r="M361" s="124"/>
    </row>
    <row r="362" spans="11:13" ht="13.5" hidden="1">
      <c r="K362" s="129" t="s">
        <v>650</v>
      </c>
      <c r="L362" s="124"/>
      <c r="M362" s="124"/>
    </row>
    <row r="363" spans="11:13" ht="13.5" hidden="1">
      <c r="K363" s="129" t="s">
        <v>651</v>
      </c>
      <c r="L363" s="124"/>
      <c r="M363" s="124"/>
    </row>
    <row r="364" spans="11:13" ht="13.5" hidden="1">
      <c r="K364" s="129" t="s">
        <v>652</v>
      </c>
      <c r="L364" s="124"/>
      <c r="M364" s="124"/>
    </row>
    <row r="365" spans="11:13" ht="13.5" hidden="1">
      <c r="K365" s="129" t="s">
        <v>653</v>
      </c>
      <c r="L365" s="124"/>
      <c r="M365" s="124"/>
    </row>
    <row r="366" spans="11:13" ht="13.5" hidden="1">
      <c r="K366" s="129" t="s">
        <v>654</v>
      </c>
      <c r="L366" s="124"/>
      <c r="M366" s="124"/>
    </row>
    <row r="367" spans="11:13" ht="13.5" hidden="1">
      <c r="K367" s="129" t="s">
        <v>655</v>
      </c>
      <c r="L367" s="124"/>
      <c r="M367" s="124"/>
    </row>
    <row r="368" spans="11:13" ht="13.5" hidden="1">
      <c r="K368" s="129" t="s">
        <v>656</v>
      </c>
      <c r="L368" s="124"/>
      <c r="M368" s="124"/>
    </row>
    <row r="369" spans="11:13" ht="13.5" hidden="1">
      <c r="K369" s="129" t="s">
        <v>657</v>
      </c>
      <c r="L369" s="124"/>
      <c r="M369" s="124"/>
    </row>
    <row r="370" spans="11:13" ht="13.5" hidden="1">
      <c r="K370" s="129" t="s">
        <v>658</v>
      </c>
      <c r="L370" s="124"/>
      <c r="M370" s="124"/>
    </row>
    <row r="371" spans="11:13" ht="13.5" hidden="1">
      <c r="K371" s="129" t="s">
        <v>659</v>
      </c>
      <c r="L371" s="124"/>
      <c r="M371" s="124"/>
    </row>
    <row r="372" spans="11:13" ht="13.5" hidden="1">
      <c r="K372" s="129" t="s">
        <v>660</v>
      </c>
      <c r="L372" s="124"/>
      <c r="M372" s="124"/>
    </row>
    <row r="373" spans="11:13" ht="13.5" hidden="1">
      <c r="K373" s="129" t="s">
        <v>661</v>
      </c>
      <c r="L373" s="124"/>
      <c r="M373" s="124"/>
    </row>
  </sheetData>
  <sheetProtection/>
  <mergeCells count="51">
    <mergeCell ref="AX3:AX4"/>
    <mergeCell ref="AY3:AY4"/>
    <mergeCell ref="AZ3:AZ4"/>
    <mergeCell ref="BA3:BA4"/>
    <mergeCell ref="BE3:BE4"/>
    <mergeCell ref="BF3:BF4"/>
    <mergeCell ref="BG3:BG4"/>
    <mergeCell ref="BB3:BB4"/>
    <mergeCell ref="BC3:BC4"/>
    <mergeCell ref="U3:V3"/>
    <mergeCell ref="R3:R4"/>
    <mergeCell ref="O3:P3"/>
    <mergeCell ref="D3:D4"/>
    <mergeCell ref="E3:E4"/>
    <mergeCell ref="K3:L3"/>
    <mergeCell ref="F3:F4"/>
    <mergeCell ref="G3:H3"/>
    <mergeCell ref="I3:I4"/>
    <mergeCell ref="J3:J4"/>
    <mergeCell ref="AV3:AV4"/>
    <mergeCell ref="AW3:AW4"/>
    <mergeCell ref="A3:A4"/>
    <mergeCell ref="B3:B4"/>
    <mergeCell ref="AQ3:AQ4"/>
    <mergeCell ref="AR3:AR4"/>
    <mergeCell ref="M3:M4"/>
    <mergeCell ref="N3:N4"/>
    <mergeCell ref="C3:C4"/>
    <mergeCell ref="S3:T3"/>
    <mergeCell ref="W3:X3"/>
    <mergeCell ref="Y3:Z3"/>
    <mergeCell ref="AG3:AG4"/>
    <mergeCell ref="AA3:AA4"/>
    <mergeCell ref="AB3:AF3"/>
    <mergeCell ref="AI3:AI4"/>
    <mergeCell ref="AP3:AP4"/>
    <mergeCell ref="AK3:AK4"/>
    <mergeCell ref="AM3:AM4"/>
    <mergeCell ref="AN3:AN4"/>
    <mergeCell ref="AJ3:AJ4"/>
    <mergeCell ref="AL3:AL4"/>
    <mergeCell ref="Q3:Q4"/>
    <mergeCell ref="BD3:BD4"/>
    <mergeCell ref="BK3:BK4"/>
    <mergeCell ref="BJ3:BJ4"/>
    <mergeCell ref="BH3:BH4"/>
    <mergeCell ref="BI3:BI4"/>
    <mergeCell ref="AS3:AS4"/>
    <mergeCell ref="AT3:AT4"/>
    <mergeCell ref="AU3:AU4"/>
    <mergeCell ref="AH3:AH4"/>
  </mergeCells>
  <conditionalFormatting sqref="AA5:AC304">
    <cfRule type="expression" priority="1" dxfId="0" stopIfTrue="1">
      <formula>ISERROR(AA5)</formula>
    </cfRule>
  </conditionalFormatting>
  <dataValidations count="15">
    <dataValidation allowBlank="1" showInputMessage="1" showErrorMessage="1" imeMode="halfAlpha" sqref="B5:B304 O5:Q304"/>
    <dataValidation type="whole" operator="greaterThanOrEqual" allowBlank="1" showInputMessage="1" showErrorMessage="1" imeMode="halfAlpha" sqref="Y5:Y304 W5:W304 U5:U304 R5:S304">
      <formula1>0</formula1>
    </dataValidation>
    <dataValidation type="list" showInputMessage="1" showErrorMessage="1" imeMode="halfAlpha" sqref="H5:H304">
      <formula1>"改,"</formula1>
    </dataValidation>
    <dataValidation type="whole" operator="greaterThan" allowBlank="1" showInputMessage="1" showErrorMessage="1" imeMode="halfAlpha" sqref="I5:I304">
      <formula1>100</formula1>
    </dataValidation>
    <dataValidation type="whole" operator="greaterThanOrEqual" allowBlank="1" showInputMessage="1" showErrorMessage="1" imeMode="halfAlpha" sqref="C5:D304">
      <formula1>1</formula1>
    </dataValidation>
    <dataValidation type="whole" allowBlank="1" showInputMessage="1" showErrorMessage="1" imeMode="halfAlpha" sqref="E5:E304">
      <formula1>1</formula1>
      <formula2>9999</formula2>
    </dataValidation>
    <dataValidation type="textLength" operator="greaterThanOrEqual" allowBlank="1" showInputMessage="1" showErrorMessage="1" imeMode="halfAlpha" sqref="G5:G304">
      <formula1>1</formula1>
    </dataValidation>
    <dataValidation type="list" allowBlank="1" showInputMessage="1" showErrorMessage="1" sqref="N5:N304">
      <formula1>"14年,15年,16年,17年"</formula1>
    </dataValidation>
    <dataValidation type="list" allowBlank="1" showInputMessage="1" showErrorMessage="1" sqref="F1">
      <formula1>$K$335:$K$339</formula1>
    </dataValidation>
    <dataValidation type="list" allowBlank="1" showInputMessage="1" showErrorMessage="1" sqref="F5:F304">
      <formula1>種類</formula1>
    </dataValidation>
    <dataValidation type="list" allowBlank="1" showInputMessage="1" showErrorMessage="1" sqref="J5:J304">
      <formula1>燃料ＤＤ</formula1>
    </dataValidation>
    <dataValidation type="list" allowBlank="1" showInputMessage="1" showErrorMessage="1" sqref="K5:K304">
      <formula1>初度登録年</formula1>
    </dataValidation>
    <dataValidation type="list" allowBlank="1" showInputMessage="1" showErrorMessage="1" sqref="L5:L304">
      <formula1>月</formula1>
    </dataValidation>
    <dataValidation type="list" allowBlank="1" showInputMessage="1" showErrorMessage="1" sqref="M5:M304">
      <formula1>"有"</formula1>
    </dataValidation>
    <dataValidation type="list" operator="greaterThanOrEqual" allowBlank="1" showInputMessage="1" showErrorMessage="1" imeMode="on" sqref="T5:T304 V5:V304 X5:X304 Z5:Z304">
      <formula1>"新規,廃止,新規廃止"</formula1>
    </dataValidation>
  </dataValidations>
  <printOptions/>
  <pageMargins left="0.7874015748031497" right="0.7874015748031497" top="0.7874015748031497" bottom="0.7874015748031497" header="0.6299212598425197" footer="0.5118110236220472"/>
  <pageSetup horizontalDpi="300" verticalDpi="300" orientation="landscape" paperSize="9" scale="77" r:id="rId1"/>
  <headerFooter alignWithMargins="0">
    <oddHeader>&amp;R自動車台帳</oddHeader>
  </headerFooter>
  <colBreaks count="1" manualBreakCount="1">
    <brk id="42" max="65535" man="1"/>
  </colBreaks>
</worksheet>
</file>

<file path=xl/worksheets/sheet10.xml><?xml version="1.0" encoding="utf-8"?>
<worksheet xmlns="http://schemas.openxmlformats.org/spreadsheetml/2006/main" xmlns:r="http://schemas.openxmlformats.org/officeDocument/2006/relationships">
  <dimension ref="A1:V202"/>
  <sheetViews>
    <sheetView workbookViewId="0" topLeftCell="I1">
      <selection activeCell="H1" sqref="A1:H16384"/>
    </sheetView>
  </sheetViews>
  <sheetFormatPr defaultColWidth="9.00390625" defaultRowHeight="13.5"/>
  <cols>
    <col min="1" max="1" width="9.00390625" style="0" hidden="1" customWidth="1"/>
    <col min="2" max="3" width="7.50390625" style="0" hidden="1" customWidth="1"/>
    <col min="4" max="4" width="6.625" style="0" hidden="1" customWidth="1"/>
    <col min="5" max="5" width="9.00390625" style="0" hidden="1" customWidth="1"/>
    <col min="6" max="7" width="6.875" style="0" hidden="1" customWidth="1"/>
    <col min="8" max="8" width="6.125" style="0" hidden="1" customWidth="1"/>
    <col min="9" max="9" width="8.50390625" style="0" customWidth="1"/>
    <col min="10" max="11" width="13.125" style="0" customWidth="1"/>
    <col min="12" max="12" width="18.00390625" style="0" bestFit="1" customWidth="1"/>
    <col min="13" max="13" width="8.00390625" style="0" customWidth="1"/>
    <col min="14" max="14" width="12.50390625" style="0" customWidth="1"/>
    <col min="15" max="15" width="2.875" style="0" customWidth="1"/>
    <col min="16" max="16" width="8.375" style="164" customWidth="1"/>
    <col min="17" max="17" width="11.125" style="164" customWidth="1"/>
    <col min="18" max="18" width="13.00390625" style="164" customWidth="1"/>
    <col min="19" max="19" width="17.875" style="164" customWidth="1"/>
    <col min="20" max="20" width="9.00390625" style="164" customWidth="1"/>
    <col min="21" max="21" width="11.75390625" style="164" customWidth="1"/>
    <col min="22" max="22" width="12.75390625" style="164" customWidth="1"/>
  </cols>
  <sheetData>
    <row r="1" ht="17.25">
      <c r="I1" s="3" t="s">
        <v>330</v>
      </c>
    </row>
    <row r="2" spans="1:19" ht="24.75" thickBot="1">
      <c r="A2" t="s">
        <v>331</v>
      </c>
      <c r="E2" t="s">
        <v>332</v>
      </c>
      <c r="I2" s="165" t="s">
        <v>612</v>
      </c>
      <c r="K2" s="164"/>
      <c r="L2" s="164"/>
      <c r="M2" s="166"/>
      <c r="N2" s="166"/>
      <c r="R2" s="167" t="s">
        <v>613</v>
      </c>
      <c r="S2" s="167"/>
    </row>
    <row r="3" spans="1:22" ht="18" thickBot="1">
      <c r="A3" t="s">
        <v>333</v>
      </c>
      <c r="B3" t="s">
        <v>334</v>
      </c>
      <c r="C3" t="s">
        <v>335</v>
      </c>
      <c r="D3" t="s">
        <v>677</v>
      </c>
      <c r="E3" t="s">
        <v>333</v>
      </c>
      <c r="F3" t="s">
        <v>334</v>
      </c>
      <c r="G3" t="s">
        <v>335</v>
      </c>
      <c r="H3" t="s">
        <v>677</v>
      </c>
      <c r="I3" s="505" t="s">
        <v>614</v>
      </c>
      <c r="J3" s="506"/>
      <c r="K3" s="168" t="s">
        <v>615</v>
      </c>
      <c r="L3" s="169" t="s">
        <v>616</v>
      </c>
      <c r="M3" s="169" t="s">
        <v>617</v>
      </c>
      <c r="N3" s="170" t="s">
        <v>618</v>
      </c>
      <c r="P3" s="505" t="s">
        <v>614</v>
      </c>
      <c r="Q3" s="507"/>
      <c r="R3" s="171" t="s">
        <v>615</v>
      </c>
      <c r="S3" s="169" t="s">
        <v>616</v>
      </c>
      <c r="T3" s="169" t="s">
        <v>617</v>
      </c>
      <c r="U3" s="169" t="s">
        <v>618</v>
      </c>
      <c r="V3" s="170" t="s">
        <v>619</v>
      </c>
    </row>
    <row r="4" spans="1:22" ht="17.25">
      <c r="A4" t="s">
        <v>336</v>
      </c>
      <c r="B4">
        <v>0.12</v>
      </c>
      <c r="C4">
        <v>0</v>
      </c>
      <c r="D4" t="s">
        <v>678</v>
      </c>
      <c r="E4" t="s">
        <v>337</v>
      </c>
      <c r="F4">
        <v>2.18</v>
      </c>
      <c r="G4">
        <v>0</v>
      </c>
      <c r="H4" t="s">
        <v>679</v>
      </c>
      <c r="I4" s="172"/>
      <c r="J4" s="173" t="s">
        <v>338</v>
      </c>
      <c r="K4" s="174" t="s">
        <v>339</v>
      </c>
      <c r="L4" s="175" t="s">
        <v>340</v>
      </c>
      <c r="M4" s="175" t="s">
        <v>341</v>
      </c>
      <c r="N4" s="176">
        <v>2.18</v>
      </c>
      <c r="P4" s="172"/>
      <c r="Q4" s="177" t="s">
        <v>338</v>
      </c>
      <c r="R4" s="178" t="s">
        <v>342</v>
      </c>
      <c r="S4" s="179" t="s">
        <v>340</v>
      </c>
      <c r="T4" s="175" t="s">
        <v>341</v>
      </c>
      <c r="U4" s="180">
        <v>1.7034482758620688</v>
      </c>
      <c r="V4" s="181">
        <v>0.2</v>
      </c>
    </row>
    <row r="5" spans="1:22" ht="17.25">
      <c r="A5" t="s">
        <v>343</v>
      </c>
      <c r="B5">
        <v>0.04</v>
      </c>
      <c r="C5">
        <v>0</v>
      </c>
      <c r="D5" t="s">
        <v>678</v>
      </c>
      <c r="E5" t="s">
        <v>344</v>
      </c>
      <c r="F5">
        <v>1</v>
      </c>
      <c r="G5">
        <v>0</v>
      </c>
      <c r="H5" t="s">
        <v>679</v>
      </c>
      <c r="I5" s="172"/>
      <c r="J5" s="173"/>
      <c r="K5" s="182" t="s">
        <v>345</v>
      </c>
      <c r="L5" s="183" t="s">
        <v>346</v>
      </c>
      <c r="M5" s="173"/>
      <c r="N5" s="184">
        <v>2.18</v>
      </c>
      <c r="P5" s="172"/>
      <c r="Q5" s="177"/>
      <c r="R5" s="185" t="s">
        <v>347</v>
      </c>
      <c r="S5" s="183" t="s">
        <v>348</v>
      </c>
      <c r="T5" s="173"/>
      <c r="U5" s="186">
        <v>1.5241379310344827</v>
      </c>
      <c r="V5" s="187">
        <v>0.2</v>
      </c>
    </row>
    <row r="6" spans="1:22" ht="17.25">
      <c r="A6" t="s">
        <v>349</v>
      </c>
      <c r="B6" t="s">
        <v>350</v>
      </c>
      <c r="C6">
        <v>0</v>
      </c>
      <c r="D6" t="s">
        <v>678</v>
      </c>
      <c r="E6" t="s">
        <v>351</v>
      </c>
      <c r="F6">
        <v>0.6</v>
      </c>
      <c r="G6">
        <v>0</v>
      </c>
      <c r="H6" t="s">
        <v>679</v>
      </c>
      <c r="I6" s="172"/>
      <c r="J6" s="173"/>
      <c r="K6" s="182" t="s">
        <v>347</v>
      </c>
      <c r="L6" s="183" t="s">
        <v>352</v>
      </c>
      <c r="M6" s="173"/>
      <c r="N6" s="184">
        <v>1</v>
      </c>
      <c r="P6" s="172"/>
      <c r="Q6" s="177"/>
      <c r="R6" s="185" t="s">
        <v>353</v>
      </c>
      <c r="S6" s="183" t="s">
        <v>354</v>
      </c>
      <c r="T6" s="173"/>
      <c r="U6" s="186">
        <v>1.3</v>
      </c>
      <c r="V6" s="187">
        <v>0.2</v>
      </c>
    </row>
    <row r="7" spans="1:22" ht="17.25">
      <c r="A7" t="s">
        <v>355</v>
      </c>
      <c r="B7">
        <v>0.5</v>
      </c>
      <c r="C7">
        <v>0</v>
      </c>
      <c r="D7" t="s">
        <v>678</v>
      </c>
      <c r="E7" t="s">
        <v>356</v>
      </c>
      <c r="F7">
        <v>0.25</v>
      </c>
      <c r="G7">
        <v>0</v>
      </c>
      <c r="H7" t="s">
        <v>678</v>
      </c>
      <c r="I7" s="172"/>
      <c r="J7" s="173"/>
      <c r="K7" s="182" t="s">
        <v>357</v>
      </c>
      <c r="L7" s="183" t="s">
        <v>358</v>
      </c>
      <c r="M7" s="173"/>
      <c r="N7" s="184">
        <v>0.6</v>
      </c>
      <c r="P7" s="172"/>
      <c r="Q7" s="177"/>
      <c r="R7" s="185" t="s">
        <v>359</v>
      </c>
      <c r="S7" s="183" t="s">
        <v>360</v>
      </c>
      <c r="T7" s="173"/>
      <c r="U7" s="186">
        <v>0.9</v>
      </c>
      <c r="V7" s="187">
        <v>0.2</v>
      </c>
    </row>
    <row r="8" spans="1:22" ht="17.25">
      <c r="A8" t="s">
        <v>361</v>
      </c>
      <c r="B8">
        <v>0.12</v>
      </c>
      <c r="C8">
        <v>0</v>
      </c>
      <c r="D8" t="s">
        <v>678</v>
      </c>
      <c r="E8" t="s">
        <v>362</v>
      </c>
      <c r="F8">
        <v>0.25</v>
      </c>
      <c r="G8">
        <v>0</v>
      </c>
      <c r="H8" t="s">
        <v>678</v>
      </c>
      <c r="I8" s="172"/>
      <c r="J8" s="173"/>
      <c r="K8" s="188" t="s">
        <v>363</v>
      </c>
      <c r="L8" s="183" t="s">
        <v>364</v>
      </c>
      <c r="M8" s="173"/>
      <c r="N8" s="184">
        <v>0.25</v>
      </c>
      <c r="P8" s="172"/>
      <c r="Q8" s="177"/>
      <c r="R8" s="185" t="s">
        <v>365</v>
      </c>
      <c r="S8" s="183" t="s">
        <v>366</v>
      </c>
      <c r="T8" s="173"/>
      <c r="U8" s="186">
        <v>0.6</v>
      </c>
      <c r="V8" s="189">
        <v>0.2</v>
      </c>
    </row>
    <row r="9" spans="1:22" ht="17.25">
      <c r="A9" t="s">
        <v>367</v>
      </c>
      <c r="B9">
        <v>0.12</v>
      </c>
      <c r="C9">
        <v>0</v>
      </c>
      <c r="D9" t="s">
        <v>678</v>
      </c>
      <c r="E9" t="s">
        <v>368</v>
      </c>
      <c r="F9">
        <v>0.25</v>
      </c>
      <c r="G9">
        <v>0</v>
      </c>
      <c r="H9" t="s">
        <v>678</v>
      </c>
      <c r="I9" s="172"/>
      <c r="J9" s="190"/>
      <c r="K9" s="188" t="s">
        <v>369</v>
      </c>
      <c r="L9" s="185" t="s">
        <v>370</v>
      </c>
      <c r="M9" s="173"/>
      <c r="N9" s="184">
        <v>0.08</v>
      </c>
      <c r="P9" s="172"/>
      <c r="Q9" s="177"/>
      <c r="R9" s="185" t="s">
        <v>371</v>
      </c>
      <c r="S9" s="183" t="s">
        <v>372</v>
      </c>
      <c r="T9" s="173"/>
      <c r="U9" s="186">
        <v>0.4</v>
      </c>
      <c r="V9" s="189">
        <v>0.08</v>
      </c>
    </row>
    <row r="10" spans="1:22" ht="17.25">
      <c r="A10" t="s">
        <v>373</v>
      </c>
      <c r="B10">
        <v>0.14</v>
      </c>
      <c r="C10">
        <v>0</v>
      </c>
      <c r="D10" t="s">
        <v>678</v>
      </c>
      <c r="E10" t="s">
        <v>374</v>
      </c>
      <c r="F10">
        <v>0.08</v>
      </c>
      <c r="G10">
        <v>0</v>
      </c>
      <c r="H10" t="s">
        <v>678</v>
      </c>
      <c r="I10" s="172"/>
      <c r="J10" s="173"/>
      <c r="K10" s="174"/>
      <c r="L10" s="183" t="s">
        <v>620</v>
      </c>
      <c r="M10" s="173"/>
      <c r="N10" s="191">
        <v>0.06</v>
      </c>
      <c r="P10" s="172"/>
      <c r="Q10" s="177"/>
      <c r="R10" s="185" t="s">
        <v>375</v>
      </c>
      <c r="S10" s="183" t="s">
        <v>376</v>
      </c>
      <c r="T10" s="173"/>
      <c r="U10" s="186">
        <v>0.28</v>
      </c>
      <c r="V10" s="189">
        <v>0.052</v>
      </c>
    </row>
    <row r="11" spans="1:22" ht="17.25">
      <c r="A11" t="s">
        <v>377</v>
      </c>
      <c r="B11">
        <v>0.3</v>
      </c>
      <c r="C11">
        <v>0</v>
      </c>
      <c r="D11" t="s">
        <v>678</v>
      </c>
      <c r="E11" t="s">
        <v>378</v>
      </c>
      <c r="F11">
        <v>0.08</v>
      </c>
      <c r="G11">
        <v>0</v>
      </c>
      <c r="H11" t="s">
        <v>678</v>
      </c>
      <c r="I11" s="172"/>
      <c r="J11" s="173"/>
      <c r="K11" s="174"/>
      <c r="L11" s="183" t="s">
        <v>621</v>
      </c>
      <c r="M11" s="173"/>
      <c r="N11" s="191">
        <v>0.04</v>
      </c>
      <c r="P11" s="172"/>
      <c r="Q11" s="192"/>
      <c r="R11" s="193" t="s">
        <v>379</v>
      </c>
      <c r="S11" s="194"/>
      <c r="T11" s="195"/>
      <c r="U11" s="196">
        <v>0.14</v>
      </c>
      <c r="V11" s="197">
        <v>0.013</v>
      </c>
    </row>
    <row r="12" spans="1:22" ht="17.25">
      <c r="A12" t="s">
        <v>380</v>
      </c>
      <c r="B12">
        <v>0.04</v>
      </c>
      <c r="C12">
        <v>0</v>
      </c>
      <c r="D12" t="s">
        <v>678</v>
      </c>
      <c r="E12" t="s">
        <v>381</v>
      </c>
      <c r="F12">
        <v>1.8</v>
      </c>
      <c r="G12">
        <v>0</v>
      </c>
      <c r="H12" t="s">
        <v>679</v>
      </c>
      <c r="I12" s="172"/>
      <c r="J12" s="173"/>
      <c r="K12" s="198"/>
      <c r="L12" s="183" t="s">
        <v>622</v>
      </c>
      <c r="M12" s="173"/>
      <c r="N12" s="191">
        <v>0.02</v>
      </c>
      <c r="P12" s="172"/>
      <c r="Q12" s="177" t="s">
        <v>382</v>
      </c>
      <c r="R12" s="185" t="s">
        <v>342</v>
      </c>
      <c r="S12" s="183" t="s">
        <v>340</v>
      </c>
      <c r="T12" s="175" t="s">
        <v>341</v>
      </c>
      <c r="U12" s="186">
        <v>2.8275391204988716</v>
      </c>
      <c r="V12" s="189">
        <v>0.25</v>
      </c>
    </row>
    <row r="13" spans="1:22" ht="17.25">
      <c r="A13" t="s">
        <v>383</v>
      </c>
      <c r="B13">
        <v>0.18</v>
      </c>
      <c r="C13">
        <v>0</v>
      </c>
      <c r="D13" t="s">
        <v>678</v>
      </c>
      <c r="E13" t="s">
        <v>384</v>
      </c>
      <c r="F13">
        <v>1.2</v>
      </c>
      <c r="G13">
        <v>0</v>
      </c>
      <c r="H13" t="s">
        <v>679</v>
      </c>
      <c r="I13" s="172"/>
      <c r="J13" s="173"/>
      <c r="K13" s="174" t="s">
        <v>379</v>
      </c>
      <c r="L13" s="175"/>
      <c r="M13" s="173"/>
      <c r="N13" s="191">
        <v>0.05</v>
      </c>
      <c r="P13" s="172"/>
      <c r="Q13" s="177"/>
      <c r="R13" s="185" t="s">
        <v>347</v>
      </c>
      <c r="S13" s="183" t="s">
        <v>348</v>
      </c>
      <c r="T13" s="173"/>
      <c r="U13" s="186">
        <v>2.5299034236042535</v>
      </c>
      <c r="V13" s="189">
        <v>0.25</v>
      </c>
    </row>
    <row r="14" spans="1:22" ht="17.25">
      <c r="A14" t="s">
        <v>385</v>
      </c>
      <c r="B14">
        <v>0.12</v>
      </c>
      <c r="C14">
        <v>0</v>
      </c>
      <c r="D14" t="s">
        <v>678</v>
      </c>
      <c r="E14" t="s">
        <v>386</v>
      </c>
      <c r="F14">
        <v>0.9</v>
      </c>
      <c r="G14">
        <v>0</v>
      </c>
      <c r="H14" t="s">
        <v>679</v>
      </c>
      <c r="I14" s="172"/>
      <c r="J14" s="199" t="s">
        <v>382</v>
      </c>
      <c r="K14" s="200" t="s">
        <v>339</v>
      </c>
      <c r="L14" s="201" t="s">
        <v>340</v>
      </c>
      <c r="M14" s="201" t="s">
        <v>341</v>
      </c>
      <c r="N14" s="202">
        <v>2.18</v>
      </c>
      <c r="P14" s="172"/>
      <c r="Q14" s="177"/>
      <c r="R14" s="185" t="s">
        <v>353</v>
      </c>
      <c r="S14" s="183" t="s">
        <v>354</v>
      </c>
      <c r="T14" s="173"/>
      <c r="U14" s="186">
        <v>2.157858802485981</v>
      </c>
      <c r="V14" s="189">
        <v>0.25</v>
      </c>
    </row>
    <row r="15" spans="1:22" ht="17.25">
      <c r="A15" t="s">
        <v>387</v>
      </c>
      <c r="B15">
        <v>0.0625</v>
      </c>
      <c r="C15">
        <v>0</v>
      </c>
      <c r="D15" t="s">
        <v>678</v>
      </c>
      <c r="E15" t="s">
        <v>388</v>
      </c>
      <c r="F15">
        <v>0.7</v>
      </c>
      <c r="G15">
        <v>0</v>
      </c>
      <c r="H15" t="s">
        <v>679</v>
      </c>
      <c r="I15" s="172"/>
      <c r="J15" s="173"/>
      <c r="K15" s="182" t="s">
        <v>345</v>
      </c>
      <c r="L15" s="183" t="s">
        <v>346</v>
      </c>
      <c r="M15" s="173"/>
      <c r="N15" s="184">
        <v>1.8</v>
      </c>
      <c r="P15" s="172"/>
      <c r="Q15" s="177"/>
      <c r="R15" s="185" t="s">
        <v>359</v>
      </c>
      <c r="S15" s="183" t="s">
        <v>360</v>
      </c>
      <c r="T15" s="173"/>
      <c r="U15" s="186">
        <v>1.9346320298150173</v>
      </c>
      <c r="V15" s="189">
        <v>0.25</v>
      </c>
    </row>
    <row r="16" spans="1:22" ht="17.25">
      <c r="A16" t="s">
        <v>389</v>
      </c>
      <c r="B16">
        <v>0.06</v>
      </c>
      <c r="C16">
        <v>0</v>
      </c>
      <c r="D16" t="s">
        <v>678</v>
      </c>
      <c r="E16" t="s">
        <v>390</v>
      </c>
      <c r="F16">
        <v>0.4</v>
      </c>
      <c r="G16">
        <v>0</v>
      </c>
      <c r="H16" t="s">
        <v>678</v>
      </c>
      <c r="I16" s="172"/>
      <c r="J16" s="173"/>
      <c r="K16" s="182" t="s">
        <v>347</v>
      </c>
      <c r="L16" s="183" t="s">
        <v>352</v>
      </c>
      <c r="M16" s="173"/>
      <c r="N16" s="184">
        <v>1.2</v>
      </c>
      <c r="P16" s="172"/>
      <c r="Q16" s="177"/>
      <c r="R16" s="203" t="s">
        <v>365</v>
      </c>
      <c r="S16" s="204" t="s">
        <v>43</v>
      </c>
      <c r="T16" s="173"/>
      <c r="U16" s="186">
        <v>1.3</v>
      </c>
      <c r="V16" s="189">
        <v>0.25</v>
      </c>
    </row>
    <row r="17" spans="1:22" ht="17.25">
      <c r="A17" t="s">
        <v>391</v>
      </c>
      <c r="B17">
        <v>0.02</v>
      </c>
      <c r="C17">
        <v>0</v>
      </c>
      <c r="D17" t="s">
        <v>678</v>
      </c>
      <c r="E17" t="s">
        <v>392</v>
      </c>
      <c r="F17">
        <v>0.4</v>
      </c>
      <c r="G17">
        <v>0</v>
      </c>
      <c r="H17" t="s">
        <v>678</v>
      </c>
      <c r="I17" s="172"/>
      <c r="J17" s="173"/>
      <c r="K17" s="182" t="s">
        <v>357</v>
      </c>
      <c r="L17" s="183" t="s">
        <v>358</v>
      </c>
      <c r="M17" s="173"/>
      <c r="N17" s="184">
        <v>0.9</v>
      </c>
      <c r="P17" s="172"/>
      <c r="Q17" s="177"/>
      <c r="R17" s="185" t="s">
        <v>393</v>
      </c>
      <c r="S17" s="205" t="s">
        <v>394</v>
      </c>
      <c r="T17" s="173"/>
      <c r="U17" s="186">
        <v>0.7</v>
      </c>
      <c r="V17" s="189">
        <v>0.09</v>
      </c>
    </row>
    <row r="18" spans="1:22" ht="17.25">
      <c r="A18" t="s">
        <v>362</v>
      </c>
      <c r="B18">
        <v>0.25</v>
      </c>
      <c r="C18">
        <v>0</v>
      </c>
      <c r="D18" t="s">
        <v>678</v>
      </c>
      <c r="E18" t="s">
        <v>395</v>
      </c>
      <c r="F18">
        <v>0.4</v>
      </c>
      <c r="G18">
        <v>0</v>
      </c>
      <c r="H18" t="s">
        <v>678</v>
      </c>
      <c r="I18" s="172"/>
      <c r="J18" s="173"/>
      <c r="K18" s="182" t="s">
        <v>396</v>
      </c>
      <c r="L18" s="183" t="s">
        <v>397</v>
      </c>
      <c r="M18" s="173"/>
      <c r="N18" s="184">
        <v>0.7</v>
      </c>
      <c r="P18" s="172"/>
      <c r="Q18" s="177"/>
      <c r="R18" s="185" t="s">
        <v>398</v>
      </c>
      <c r="S18" s="183" t="s">
        <v>399</v>
      </c>
      <c r="T18" s="173"/>
      <c r="U18" s="186">
        <v>0.49</v>
      </c>
      <c r="V18" s="189">
        <v>0.06</v>
      </c>
    </row>
    <row r="19" spans="1:22" ht="17.25">
      <c r="A19" t="s">
        <v>374</v>
      </c>
      <c r="B19">
        <v>0.08</v>
      </c>
      <c r="C19">
        <v>0</v>
      </c>
      <c r="D19" t="s">
        <v>678</v>
      </c>
      <c r="E19" t="s">
        <v>400</v>
      </c>
      <c r="F19">
        <v>0.13</v>
      </c>
      <c r="G19">
        <v>0</v>
      </c>
      <c r="H19" t="s">
        <v>678</v>
      </c>
      <c r="I19" s="172"/>
      <c r="J19" s="173"/>
      <c r="K19" s="182" t="s">
        <v>401</v>
      </c>
      <c r="L19" s="204" t="s">
        <v>402</v>
      </c>
      <c r="M19" s="173"/>
      <c r="N19" s="184">
        <v>0.4</v>
      </c>
      <c r="P19" s="172"/>
      <c r="Q19" s="192"/>
      <c r="R19" s="193" t="s">
        <v>379</v>
      </c>
      <c r="S19" s="194"/>
      <c r="T19" s="195"/>
      <c r="U19" s="196">
        <v>0.25</v>
      </c>
      <c r="V19" s="197">
        <v>0.015</v>
      </c>
    </row>
    <row r="20" spans="1:22" ht="17.25">
      <c r="A20" t="s">
        <v>337</v>
      </c>
      <c r="B20">
        <v>2.18</v>
      </c>
      <c r="C20">
        <v>0</v>
      </c>
      <c r="D20" t="s">
        <v>679</v>
      </c>
      <c r="E20" t="s">
        <v>403</v>
      </c>
      <c r="F20">
        <v>0.13</v>
      </c>
      <c r="G20">
        <v>0</v>
      </c>
      <c r="H20" t="s">
        <v>678</v>
      </c>
      <c r="I20" s="172"/>
      <c r="J20" s="173"/>
      <c r="K20" s="188" t="s">
        <v>404</v>
      </c>
      <c r="L20" s="183" t="s">
        <v>405</v>
      </c>
      <c r="M20" s="173"/>
      <c r="N20" s="184">
        <v>0.13</v>
      </c>
      <c r="P20" s="172"/>
      <c r="Q20" s="177" t="s">
        <v>406</v>
      </c>
      <c r="R20" s="185" t="s">
        <v>342</v>
      </c>
      <c r="S20" s="183" t="s">
        <v>340</v>
      </c>
      <c r="T20" s="175" t="s">
        <v>341</v>
      </c>
      <c r="U20" s="186">
        <v>2.8275391204988716</v>
      </c>
      <c r="V20" s="189">
        <v>0.25</v>
      </c>
    </row>
    <row r="21" spans="1:22" ht="17.25">
      <c r="A21" t="s">
        <v>368</v>
      </c>
      <c r="B21">
        <v>0.25</v>
      </c>
      <c r="C21">
        <v>0</v>
      </c>
      <c r="D21" t="s">
        <v>678</v>
      </c>
      <c r="E21" t="s">
        <v>407</v>
      </c>
      <c r="F21">
        <v>1.2</v>
      </c>
      <c r="G21">
        <v>0</v>
      </c>
      <c r="H21" t="s">
        <v>679</v>
      </c>
      <c r="I21" s="172"/>
      <c r="J21" s="173"/>
      <c r="K21" s="174"/>
      <c r="L21" s="183" t="s">
        <v>623</v>
      </c>
      <c r="M21" s="173"/>
      <c r="N21" s="191">
        <v>0.1</v>
      </c>
      <c r="P21" s="172"/>
      <c r="Q21" s="177"/>
      <c r="R21" s="185" t="s">
        <v>347</v>
      </c>
      <c r="S21" s="183" t="s">
        <v>348</v>
      </c>
      <c r="T21" s="173"/>
      <c r="U21" s="186">
        <v>2.5299034236042535</v>
      </c>
      <c r="V21" s="189">
        <v>0.25</v>
      </c>
    </row>
    <row r="22" spans="1:22" ht="17.25">
      <c r="A22" t="s">
        <v>378</v>
      </c>
      <c r="B22">
        <v>0.08</v>
      </c>
      <c r="C22">
        <v>0</v>
      </c>
      <c r="D22" t="s">
        <v>678</v>
      </c>
      <c r="E22" t="s">
        <v>408</v>
      </c>
      <c r="F22">
        <v>0.9</v>
      </c>
      <c r="G22">
        <v>0</v>
      </c>
      <c r="H22" t="s">
        <v>679</v>
      </c>
      <c r="I22" s="172"/>
      <c r="J22" s="173"/>
      <c r="K22" s="174"/>
      <c r="L22" s="183" t="s">
        <v>624</v>
      </c>
      <c r="M22" s="173"/>
      <c r="N22" s="191">
        <v>0.07</v>
      </c>
      <c r="P22" s="172"/>
      <c r="Q22" s="177"/>
      <c r="R22" s="185" t="s">
        <v>353</v>
      </c>
      <c r="S22" s="183" t="s">
        <v>354</v>
      </c>
      <c r="T22" s="173"/>
      <c r="U22" s="186">
        <v>2.157858802485981</v>
      </c>
      <c r="V22" s="189">
        <v>0.25</v>
      </c>
    </row>
    <row r="23" spans="1:22" ht="17.25">
      <c r="A23" t="s">
        <v>344</v>
      </c>
      <c r="B23">
        <v>1</v>
      </c>
      <c r="C23">
        <v>0</v>
      </c>
      <c r="D23" t="s">
        <v>679</v>
      </c>
      <c r="E23" t="s">
        <v>409</v>
      </c>
      <c r="F23">
        <v>0.7</v>
      </c>
      <c r="G23">
        <v>0</v>
      </c>
      <c r="H23" t="s">
        <v>679</v>
      </c>
      <c r="I23" s="172"/>
      <c r="J23" s="173"/>
      <c r="K23" s="198"/>
      <c r="L23" s="183" t="s">
        <v>625</v>
      </c>
      <c r="M23" s="173"/>
      <c r="N23" s="191">
        <v>0.03</v>
      </c>
      <c r="P23" s="172"/>
      <c r="Q23" s="177"/>
      <c r="R23" s="185" t="s">
        <v>410</v>
      </c>
      <c r="S23" s="183" t="s">
        <v>411</v>
      </c>
      <c r="T23" s="173"/>
      <c r="U23" s="186">
        <v>1.9346320298150173</v>
      </c>
      <c r="V23" s="189">
        <v>0.25</v>
      </c>
    </row>
    <row r="24" spans="1:22" ht="17.25">
      <c r="A24" t="s">
        <v>351</v>
      </c>
      <c r="B24">
        <v>0.6</v>
      </c>
      <c r="C24">
        <v>0</v>
      </c>
      <c r="D24" t="s">
        <v>679</v>
      </c>
      <c r="E24" t="s">
        <v>412</v>
      </c>
      <c r="F24">
        <v>0.49</v>
      </c>
      <c r="G24">
        <v>0</v>
      </c>
      <c r="H24" t="s">
        <v>679</v>
      </c>
      <c r="I24" s="172"/>
      <c r="J24" s="195"/>
      <c r="K24" s="174" t="s">
        <v>379</v>
      </c>
      <c r="L24" s="175"/>
      <c r="M24" s="173"/>
      <c r="N24" s="191">
        <v>0.065</v>
      </c>
      <c r="P24" s="172"/>
      <c r="Q24" s="177"/>
      <c r="R24" s="185" t="s">
        <v>413</v>
      </c>
      <c r="S24" s="183" t="s">
        <v>44</v>
      </c>
      <c r="T24" s="173"/>
      <c r="U24" s="186">
        <v>1.3</v>
      </c>
      <c r="V24" s="189">
        <v>0.25</v>
      </c>
    </row>
    <row r="25" spans="1:22" ht="17.25">
      <c r="A25" t="s">
        <v>414</v>
      </c>
      <c r="B25">
        <v>0.04</v>
      </c>
      <c r="C25">
        <v>0</v>
      </c>
      <c r="D25" t="s">
        <v>678</v>
      </c>
      <c r="E25" t="s">
        <v>415</v>
      </c>
      <c r="F25">
        <v>0.4</v>
      </c>
      <c r="G25">
        <v>0</v>
      </c>
      <c r="H25" t="s">
        <v>678</v>
      </c>
      <c r="I25" s="172"/>
      <c r="J25" s="173" t="s">
        <v>406</v>
      </c>
      <c r="K25" s="200" t="s">
        <v>342</v>
      </c>
      <c r="L25" s="206" t="s">
        <v>340</v>
      </c>
      <c r="M25" s="201" t="s">
        <v>341</v>
      </c>
      <c r="N25" s="207">
        <v>1.8</v>
      </c>
      <c r="P25" s="172"/>
      <c r="Q25" s="177"/>
      <c r="R25" s="185" t="s">
        <v>371</v>
      </c>
      <c r="S25" s="183" t="s">
        <v>416</v>
      </c>
      <c r="T25" s="173"/>
      <c r="U25" s="186">
        <v>0.7</v>
      </c>
      <c r="V25" s="189">
        <v>0.09</v>
      </c>
    </row>
    <row r="26" spans="1:22" ht="17.25">
      <c r="A26" t="s">
        <v>356</v>
      </c>
      <c r="B26">
        <v>0.25</v>
      </c>
      <c r="C26">
        <v>0</v>
      </c>
      <c r="D26" t="s">
        <v>678</v>
      </c>
      <c r="E26" t="s">
        <v>417</v>
      </c>
      <c r="F26">
        <v>0.4</v>
      </c>
      <c r="G26">
        <v>0</v>
      </c>
      <c r="H26" t="s">
        <v>678</v>
      </c>
      <c r="I26" s="172"/>
      <c r="J26" s="173"/>
      <c r="K26" s="182" t="s">
        <v>347</v>
      </c>
      <c r="L26" s="183" t="s">
        <v>352</v>
      </c>
      <c r="M26" s="173"/>
      <c r="N26" s="184">
        <v>1.2</v>
      </c>
      <c r="P26" s="172"/>
      <c r="Q26" s="177"/>
      <c r="R26" s="185" t="s">
        <v>398</v>
      </c>
      <c r="S26" s="183" t="s">
        <v>418</v>
      </c>
      <c r="T26" s="173"/>
      <c r="U26" s="186">
        <v>0.49</v>
      </c>
      <c r="V26" s="189">
        <v>0.06</v>
      </c>
    </row>
    <row r="27" spans="1:22" ht="17.25">
      <c r="A27" t="s">
        <v>419</v>
      </c>
      <c r="B27">
        <v>0.06</v>
      </c>
      <c r="C27">
        <v>0</v>
      </c>
      <c r="D27" t="s">
        <v>678</v>
      </c>
      <c r="E27" t="s">
        <v>420</v>
      </c>
      <c r="F27">
        <v>0.4</v>
      </c>
      <c r="G27">
        <v>0</v>
      </c>
      <c r="H27" t="s">
        <v>678</v>
      </c>
      <c r="I27" s="172"/>
      <c r="J27" s="173"/>
      <c r="K27" s="182" t="s">
        <v>421</v>
      </c>
      <c r="L27" s="183" t="s">
        <v>422</v>
      </c>
      <c r="M27" s="173"/>
      <c r="N27" s="184">
        <v>0.9</v>
      </c>
      <c r="P27" s="172"/>
      <c r="Q27" s="192"/>
      <c r="R27" s="193" t="s">
        <v>379</v>
      </c>
      <c r="S27" s="194"/>
      <c r="T27" s="195"/>
      <c r="U27" s="208">
        <v>0.25</v>
      </c>
      <c r="V27" s="197">
        <v>0.015</v>
      </c>
    </row>
    <row r="28" spans="1:22" ht="17.25">
      <c r="A28" t="s">
        <v>423</v>
      </c>
      <c r="B28">
        <v>0.02</v>
      </c>
      <c r="C28">
        <v>0</v>
      </c>
      <c r="D28" t="s">
        <v>678</v>
      </c>
      <c r="E28" t="s">
        <v>424</v>
      </c>
      <c r="F28">
        <v>0.13</v>
      </c>
      <c r="G28">
        <v>0</v>
      </c>
      <c r="H28" t="s">
        <v>678</v>
      </c>
      <c r="I28" s="172"/>
      <c r="J28" s="173"/>
      <c r="K28" s="182" t="s">
        <v>396</v>
      </c>
      <c r="L28" s="183" t="s">
        <v>397</v>
      </c>
      <c r="M28" s="173"/>
      <c r="N28" s="184">
        <v>0.7</v>
      </c>
      <c r="P28" s="172"/>
      <c r="Q28" s="209" t="s">
        <v>425</v>
      </c>
      <c r="R28" s="185" t="s">
        <v>342</v>
      </c>
      <c r="S28" s="183" t="s">
        <v>340</v>
      </c>
      <c r="T28" s="175" t="s">
        <v>426</v>
      </c>
      <c r="U28" s="186">
        <v>0.9030642837233096</v>
      </c>
      <c r="V28" s="210">
        <v>0.065</v>
      </c>
    </row>
    <row r="29" spans="1:22" ht="17.25">
      <c r="A29" t="s">
        <v>427</v>
      </c>
      <c r="B29">
        <v>0.06</v>
      </c>
      <c r="C29">
        <v>0</v>
      </c>
      <c r="D29" t="s">
        <v>678</v>
      </c>
      <c r="E29" t="s">
        <v>428</v>
      </c>
      <c r="F29">
        <v>0.13</v>
      </c>
      <c r="G29">
        <v>0</v>
      </c>
      <c r="H29" t="s">
        <v>678</v>
      </c>
      <c r="I29" s="172"/>
      <c r="J29" s="173"/>
      <c r="K29" s="174" t="s">
        <v>429</v>
      </c>
      <c r="L29" s="183" t="s">
        <v>430</v>
      </c>
      <c r="M29" s="173"/>
      <c r="N29" s="184">
        <v>0.48888888888888893</v>
      </c>
      <c r="P29" s="172"/>
      <c r="Q29" s="177"/>
      <c r="R29" s="185" t="s">
        <v>347</v>
      </c>
      <c r="S29" s="183" t="s">
        <v>348</v>
      </c>
      <c r="T29" s="173"/>
      <c r="U29" s="186">
        <v>0.75</v>
      </c>
      <c r="V29" s="210">
        <v>0.065</v>
      </c>
    </row>
    <row r="30" spans="1:22" ht="17.25">
      <c r="A30" t="s">
        <v>431</v>
      </c>
      <c r="B30">
        <v>0.04</v>
      </c>
      <c r="C30">
        <v>0</v>
      </c>
      <c r="D30" t="s">
        <v>678</v>
      </c>
      <c r="E30" t="s">
        <v>432</v>
      </c>
      <c r="F30">
        <v>0.83</v>
      </c>
      <c r="G30">
        <v>0</v>
      </c>
      <c r="H30" t="s">
        <v>679</v>
      </c>
      <c r="I30" s="172"/>
      <c r="J30" s="173"/>
      <c r="K30" s="182" t="s">
        <v>433</v>
      </c>
      <c r="L30" s="183" t="s">
        <v>434</v>
      </c>
      <c r="M30" s="173"/>
      <c r="N30" s="184">
        <v>0.4</v>
      </c>
      <c r="P30" s="172"/>
      <c r="Q30" s="177"/>
      <c r="R30" s="185" t="s">
        <v>353</v>
      </c>
      <c r="S30" s="183" t="s">
        <v>354</v>
      </c>
      <c r="T30" s="173"/>
      <c r="U30" s="186">
        <v>0.6529849436153161</v>
      </c>
      <c r="V30" s="210">
        <v>0.065</v>
      </c>
    </row>
    <row r="31" spans="1:22" ht="17.25">
      <c r="A31" t="s">
        <v>435</v>
      </c>
      <c r="B31">
        <v>0.02</v>
      </c>
      <c r="C31">
        <v>0</v>
      </c>
      <c r="D31" t="s">
        <v>678</v>
      </c>
      <c r="E31" t="s">
        <v>436</v>
      </c>
      <c r="F31">
        <v>0.57</v>
      </c>
      <c r="G31">
        <v>0</v>
      </c>
      <c r="H31" t="s">
        <v>679</v>
      </c>
      <c r="I31" s="172"/>
      <c r="J31" s="173"/>
      <c r="K31" s="182" t="s">
        <v>404</v>
      </c>
      <c r="L31" s="183" t="s">
        <v>405</v>
      </c>
      <c r="M31" s="173"/>
      <c r="N31" s="184">
        <v>0.13</v>
      </c>
      <c r="P31" s="172"/>
      <c r="Q31" s="177"/>
      <c r="R31" s="185" t="s">
        <v>437</v>
      </c>
      <c r="S31" s="183" t="s">
        <v>438</v>
      </c>
      <c r="T31" s="173"/>
      <c r="U31" s="186">
        <v>0.555731866906652</v>
      </c>
      <c r="V31" s="210">
        <v>0.065</v>
      </c>
    </row>
    <row r="32" spans="1:22" ht="17.25">
      <c r="A32" t="s">
        <v>439</v>
      </c>
      <c r="B32">
        <v>0.4</v>
      </c>
      <c r="C32">
        <v>0.08</v>
      </c>
      <c r="D32" t="s">
        <v>679</v>
      </c>
      <c r="E32" t="s">
        <v>440</v>
      </c>
      <c r="F32">
        <v>0.49</v>
      </c>
      <c r="G32">
        <v>0</v>
      </c>
      <c r="H32" t="s">
        <v>679</v>
      </c>
      <c r="I32" s="172"/>
      <c r="J32" s="195"/>
      <c r="K32" s="174" t="s">
        <v>379</v>
      </c>
      <c r="L32" s="204"/>
      <c r="M32" s="173"/>
      <c r="N32" s="191">
        <v>0.065</v>
      </c>
      <c r="P32" s="172"/>
      <c r="Q32" s="177"/>
      <c r="R32" s="185" t="s">
        <v>413</v>
      </c>
      <c r="S32" s="183" t="s">
        <v>44</v>
      </c>
      <c r="T32" s="173"/>
      <c r="U32" s="186">
        <v>0.46311350654176214</v>
      </c>
      <c r="V32" s="210">
        <v>0.065</v>
      </c>
    </row>
    <row r="33" spans="1:22" ht="17.25">
      <c r="A33" t="s">
        <v>441</v>
      </c>
      <c r="B33">
        <v>0.28</v>
      </c>
      <c r="C33">
        <v>0.052</v>
      </c>
      <c r="D33" t="s">
        <v>679</v>
      </c>
      <c r="E33" t="s">
        <v>442</v>
      </c>
      <c r="F33">
        <v>0.4</v>
      </c>
      <c r="G33">
        <v>0</v>
      </c>
      <c r="H33" t="s">
        <v>679</v>
      </c>
      <c r="I33" s="172"/>
      <c r="J33" s="211" t="s">
        <v>425</v>
      </c>
      <c r="K33" s="200" t="s">
        <v>342</v>
      </c>
      <c r="L33" s="206" t="s">
        <v>340</v>
      </c>
      <c r="M33" s="201" t="s">
        <v>426</v>
      </c>
      <c r="N33" s="207">
        <v>1.167843710106818</v>
      </c>
      <c r="P33" s="172"/>
      <c r="Q33" s="177"/>
      <c r="R33" s="185" t="s">
        <v>443</v>
      </c>
      <c r="S33" s="183" t="s">
        <v>444</v>
      </c>
      <c r="T33" s="173"/>
      <c r="U33" s="186">
        <v>0.3473351299063216</v>
      </c>
      <c r="V33" s="210">
        <v>0.023</v>
      </c>
    </row>
    <row r="34" spans="1:22" ht="17.25">
      <c r="A34" t="s">
        <v>445</v>
      </c>
      <c r="B34">
        <v>1.52</v>
      </c>
      <c r="C34">
        <v>0.2</v>
      </c>
      <c r="D34" t="s">
        <v>679</v>
      </c>
      <c r="E34" t="s">
        <v>446</v>
      </c>
      <c r="F34">
        <v>0.33</v>
      </c>
      <c r="G34">
        <v>0</v>
      </c>
      <c r="H34" t="s">
        <v>678</v>
      </c>
      <c r="I34" s="172"/>
      <c r="J34" s="173"/>
      <c r="K34" s="182" t="s">
        <v>347</v>
      </c>
      <c r="L34" s="183" t="s">
        <v>352</v>
      </c>
      <c r="M34" s="173"/>
      <c r="N34" s="184">
        <v>0.828792310398387</v>
      </c>
      <c r="P34" s="172"/>
      <c r="Q34" s="177"/>
      <c r="R34" s="203" t="s">
        <v>447</v>
      </c>
      <c r="S34" s="204" t="s">
        <v>448</v>
      </c>
      <c r="T34" s="173"/>
      <c r="U34" s="212">
        <v>0.2608872753518593</v>
      </c>
      <c r="V34" s="213">
        <v>0.017</v>
      </c>
    </row>
    <row r="35" spans="1:22" ht="18" thickBot="1">
      <c r="A35" t="s">
        <v>449</v>
      </c>
      <c r="B35">
        <v>0.6</v>
      </c>
      <c r="C35">
        <v>0.2</v>
      </c>
      <c r="D35" t="s">
        <v>679</v>
      </c>
      <c r="E35" t="s">
        <v>450</v>
      </c>
      <c r="F35">
        <v>0.33</v>
      </c>
      <c r="G35">
        <v>0</v>
      </c>
      <c r="H35" t="s">
        <v>678</v>
      </c>
      <c r="I35" s="172"/>
      <c r="J35" s="173"/>
      <c r="K35" s="182" t="s">
        <v>421</v>
      </c>
      <c r="L35" s="183" t="s">
        <v>422</v>
      </c>
      <c r="M35" s="173"/>
      <c r="N35" s="184">
        <v>0.5650856661807184</v>
      </c>
      <c r="P35" s="214"/>
      <c r="Q35" s="215"/>
      <c r="R35" s="216" t="s">
        <v>379</v>
      </c>
      <c r="S35" s="217" t="s">
        <v>340</v>
      </c>
      <c r="T35" s="218"/>
      <c r="U35" s="219">
        <v>0.15437116884725402</v>
      </c>
      <c r="V35" s="220">
        <v>0.003</v>
      </c>
    </row>
    <row r="36" spans="1:22" ht="17.25">
      <c r="A36" t="s">
        <v>451</v>
      </c>
      <c r="B36">
        <v>0.4</v>
      </c>
      <c r="C36">
        <v>0.08</v>
      </c>
      <c r="D36" t="s">
        <v>679</v>
      </c>
      <c r="E36" t="s">
        <v>452</v>
      </c>
      <c r="F36">
        <v>0.33</v>
      </c>
      <c r="G36">
        <v>0</v>
      </c>
      <c r="H36" t="s">
        <v>678</v>
      </c>
      <c r="I36" s="172"/>
      <c r="J36" s="173"/>
      <c r="K36" s="182" t="s">
        <v>396</v>
      </c>
      <c r="L36" s="183" t="s">
        <v>397</v>
      </c>
      <c r="M36" s="173"/>
      <c r="N36" s="184">
        <v>0.48974091068995595</v>
      </c>
      <c r="P36" s="221"/>
      <c r="Q36" s="222"/>
      <c r="R36" s="223" t="s">
        <v>342</v>
      </c>
      <c r="S36" s="206" t="s">
        <v>340</v>
      </c>
      <c r="T36" s="201" t="s">
        <v>341</v>
      </c>
      <c r="U36" s="224">
        <v>1.3357535578264381</v>
      </c>
      <c r="V36" s="225">
        <v>0.2</v>
      </c>
    </row>
    <row r="37" spans="1:22" ht="17.25">
      <c r="A37" t="s">
        <v>453</v>
      </c>
      <c r="B37">
        <v>0.28</v>
      </c>
      <c r="C37">
        <v>0.052</v>
      </c>
      <c r="D37" t="s">
        <v>679</v>
      </c>
      <c r="E37" t="s">
        <v>454</v>
      </c>
      <c r="F37">
        <v>0.1</v>
      </c>
      <c r="G37">
        <v>0</v>
      </c>
      <c r="H37" t="s">
        <v>678</v>
      </c>
      <c r="I37" s="172"/>
      <c r="J37" s="173"/>
      <c r="K37" s="174" t="s">
        <v>429</v>
      </c>
      <c r="L37" s="183" t="s">
        <v>430</v>
      </c>
      <c r="M37" s="173"/>
      <c r="N37" s="184">
        <v>0.3977067965484141</v>
      </c>
      <c r="P37" s="226"/>
      <c r="Q37" s="227"/>
      <c r="R37" s="185" t="s">
        <v>347</v>
      </c>
      <c r="S37" s="183" t="s">
        <v>348</v>
      </c>
      <c r="T37" s="173"/>
      <c r="U37" s="186">
        <v>1.1951479201604973</v>
      </c>
      <c r="V37" s="189">
        <v>0.2</v>
      </c>
    </row>
    <row r="38" spans="1:22" ht="17.25">
      <c r="A38" t="s">
        <v>455</v>
      </c>
      <c r="B38">
        <v>1.3</v>
      </c>
      <c r="C38">
        <v>0.2</v>
      </c>
      <c r="D38" t="s">
        <v>679</v>
      </c>
      <c r="E38" t="s">
        <v>456</v>
      </c>
      <c r="F38">
        <v>0.1</v>
      </c>
      <c r="G38">
        <v>0</v>
      </c>
      <c r="H38" t="s">
        <v>678</v>
      </c>
      <c r="I38" s="172"/>
      <c r="J38" s="173"/>
      <c r="K38" s="182" t="s">
        <v>433</v>
      </c>
      <c r="L38" s="183" t="s">
        <v>434</v>
      </c>
      <c r="M38" s="173"/>
      <c r="N38" s="184">
        <v>0.32539646990324794</v>
      </c>
      <c r="P38" s="226"/>
      <c r="Q38" s="227"/>
      <c r="R38" s="185" t="s">
        <v>353</v>
      </c>
      <c r="S38" s="183" t="s">
        <v>354</v>
      </c>
      <c r="T38" s="173"/>
      <c r="U38" s="186">
        <v>1.0193908730780712</v>
      </c>
      <c r="V38" s="189">
        <v>0.2</v>
      </c>
    </row>
    <row r="39" spans="1:22" ht="17.25">
      <c r="A39" t="s">
        <v>457</v>
      </c>
      <c r="B39">
        <v>1.3</v>
      </c>
      <c r="C39">
        <v>0.2</v>
      </c>
      <c r="D39" t="s">
        <v>679</v>
      </c>
      <c r="E39" t="s">
        <v>445</v>
      </c>
      <c r="F39">
        <v>1.52</v>
      </c>
      <c r="G39">
        <v>0.2</v>
      </c>
      <c r="H39" t="s">
        <v>679</v>
      </c>
      <c r="I39" s="172"/>
      <c r="J39" s="173"/>
      <c r="K39" s="182" t="s">
        <v>404</v>
      </c>
      <c r="L39" s="183" t="s">
        <v>458</v>
      </c>
      <c r="M39" s="173"/>
      <c r="N39" s="184">
        <v>0.10123445730323269</v>
      </c>
      <c r="P39" s="226"/>
      <c r="Q39" s="228"/>
      <c r="R39" s="185" t="s">
        <v>459</v>
      </c>
      <c r="S39" s="183" t="s">
        <v>460</v>
      </c>
      <c r="T39" s="173"/>
      <c r="U39" s="186">
        <v>0.7</v>
      </c>
      <c r="V39" s="189">
        <v>0.2</v>
      </c>
    </row>
    <row r="40" spans="1:22" ht="18" thickBot="1">
      <c r="A40" t="s">
        <v>461</v>
      </c>
      <c r="B40">
        <v>0.9</v>
      </c>
      <c r="C40">
        <v>0.2</v>
      </c>
      <c r="D40" t="s">
        <v>679</v>
      </c>
      <c r="E40" t="s">
        <v>455</v>
      </c>
      <c r="F40">
        <v>1.3</v>
      </c>
      <c r="G40">
        <v>0.2</v>
      </c>
      <c r="H40" t="s">
        <v>679</v>
      </c>
      <c r="I40" s="214"/>
      <c r="J40" s="218"/>
      <c r="K40" s="174" t="s">
        <v>379</v>
      </c>
      <c r="L40" s="204"/>
      <c r="M40" s="173"/>
      <c r="N40" s="229">
        <v>0.050617228651616344</v>
      </c>
      <c r="P40" s="226"/>
      <c r="Q40" s="228"/>
      <c r="R40" s="185" t="s">
        <v>462</v>
      </c>
      <c r="S40" s="183" t="s">
        <v>463</v>
      </c>
      <c r="T40" s="173"/>
      <c r="U40" s="186">
        <v>0.5</v>
      </c>
      <c r="V40" s="189">
        <v>0.2</v>
      </c>
    </row>
    <row r="41" spans="1:22" ht="17.25">
      <c r="A41" t="s">
        <v>464</v>
      </c>
      <c r="B41">
        <v>0.2</v>
      </c>
      <c r="C41">
        <v>0</v>
      </c>
      <c r="D41" t="s">
        <v>678</v>
      </c>
      <c r="E41" t="s">
        <v>457</v>
      </c>
      <c r="F41">
        <v>1.3</v>
      </c>
      <c r="G41">
        <v>0.2</v>
      </c>
      <c r="H41" t="s">
        <v>679</v>
      </c>
      <c r="I41" s="221"/>
      <c r="J41" s="230"/>
      <c r="K41" s="231" t="s">
        <v>339</v>
      </c>
      <c r="L41" s="232" t="s">
        <v>340</v>
      </c>
      <c r="M41" s="232" t="s">
        <v>341</v>
      </c>
      <c r="N41" s="233">
        <v>2.18</v>
      </c>
      <c r="P41" s="226"/>
      <c r="Q41" s="228"/>
      <c r="R41" s="203" t="s">
        <v>465</v>
      </c>
      <c r="S41" s="183" t="s">
        <v>466</v>
      </c>
      <c r="T41" s="175"/>
      <c r="U41" s="186">
        <v>0.5</v>
      </c>
      <c r="V41" s="189">
        <v>0.2</v>
      </c>
    </row>
    <row r="42" spans="1:22" ht="17.25">
      <c r="A42" t="s">
        <v>467</v>
      </c>
      <c r="B42">
        <v>0.2</v>
      </c>
      <c r="C42">
        <v>0</v>
      </c>
      <c r="D42" t="s">
        <v>678</v>
      </c>
      <c r="E42" t="s">
        <v>461</v>
      </c>
      <c r="F42">
        <v>0.9</v>
      </c>
      <c r="G42">
        <v>0.2</v>
      </c>
      <c r="H42" t="s">
        <v>679</v>
      </c>
      <c r="I42" s="226"/>
      <c r="J42" s="234"/>
      <c r="K42" s="182" t="s">
        <v>345</v>
      </c>
      <c r="L42" s="183" t="s">
        <v>468</v>
      </c>
      <c r="M42" s="173"/>
      <c r="N42" s="184">
        <v>1.2</v>
      </c>
      <c r="P42" s="226"/>
      <c r="Q42" s="228"/>
      <c r="R42" s="185" t="s">
        <v>469</v>
      </c>
      <c r="S42" s="183" t="s">
        <v>470</v>
      </c>
      <c r="T42" s="173"/>
      <c r="U42" s="186">
        <v>0.4</v>
      </c>
      <c r="V42" s="189">
        <v>0.08</v>
      </c>
    </row>
    <row r="43" spans="1:22" ht="17.25">
      <c r="A43" t="s">
        <v>471</v>
      </c>
      <c r="B43">
        <v>0.065</v>
      </c>
      <c r="C43">
        <v>0</v>
      </c>
      <c r="D43" t="s">
        <v>678</v>
      </c>
      <c r="E43" t="s">
        <v>449</v>
      </c>
      <c r="F43">
        <v>0.6</v>
      </c>
      <c r="G43">
        <v>0.2</v>
      </c>
      <c r="H43" t="s">
        <v>679</v>
      </c>
      <c r="I43" s="226"/>
      <c r="J43" s="234"/>
      <c r="K43" s="182" t="s">
        <v>472</v>
      </c>
      <c r="L43" s="183" t="s">
        <v>473</v>
      </c>
      <c r="M43" s="173"/>
      <c r="N43" s="184">
        <v>0.6</v>
      </c>
      <c r="P43" s="226"/>
      <c r="Q43" s="228"/>
      <c r="R43" s="203" t="s">
        <v>375</v>
      </c>
      <c r="S43" s="183" t="s">
        <v>474</v>
      </c>
      <c r="T43" s="173"/>
      <c r="U43" s="186">
        <v>0.28</v>
      </c>
      <c r="V43" s="189">
        <v>0.052</v>
      </c>
    </row>
    <row r="44" spans="1:22" ht="18" thickBot="1">
      <c r="A44" t="s">
        <v>475</v>
      </c>
      <c r="B44" t="s">
        <v>350</v>
      </c>
      <c r="C44">
        <v>0</v>
      </c>
      <c r="D44" t="s">
        <v>678</v>
      </c>
      <c r="E44" t="s">
        <v>451</v>
      </c>
      <c r="F44">
        <v>0.4</v>
      </c>
      <c r="G44">
        <v>0.08</v>
      </c>
      <c r="H44" t="s">
        <v>679</v>
      </c>
      <c r="I44" s="226"/>
      <c r="J44" s="235"/>
      <c r="K44" s="182" t="s">
        <v>476</v>
      </c>
      <c r="L44" s="183" t="s">
        <v>477</v>
      </c>
      <c r="M44" s="173"/>
      <c r="N44" s="184">
        <v>0.25</v>
      </c>
      <c r="P44" s="236"/>
      <c r="Q44" s="237"/>
      <c r="R44" s="216" t="s">
        <v>379</v>
      </c>
      <c r="S44" s="217" t="s">
        <v>340</v>
      </c>
      <c r="T44" s="218"/>
      <c r="U44" s="219">
        <v>0.14</v>
      </c>
      <c r="V44" s="238">
        <v>0.013</v>
      </c>
    </row>
    <row r="45" spans="1:14" ht="17.25">
      <c r="A45" t="s">
        <v>478</v>
      </c>
      <c r="B45">
        <v>0.6</v>
      </c>
      <c r="C45">
        <v>0</v>
      </c>
      <c r="D45" t="s">
        <v>678</v>
      </c>
      <c r="E45" t="s">
        <v>439</v>
      </c>
      <c r="F45">
        <v>0.4</v>
      </c>
      <c r="G45">
        <v>0.08</v>
      </c>
      <c r="H45" t="s">
        <v>679</v>
      </c>
      <c r="I45" s="226"/>
      <c r="J45" s="235"/>
      <c r="K45" s="188" t="s">
        <v>369</v>
      </c>
      <c r="L45" s="175" t="s">
        <v>479</v>
      </c>
      <c r="M45" s="173"/>
      <c r="N45" s="229">
        <v>0.08</v>
      </c>
    </row>
    <row r="46" spans="1:14" ht="17.25">
      <c r="A46" t="s">
        <v>480</v>
      </c>
      <c r="B46">
        <v>0.35</v>
      </c>
      <c r="C46">
        <v>0</v>
      </c>
      <c r="D46" t="s">
        <v>678</v>
      </c>
      <c r="E46" t="s">
        <v>453</v>
      </c>
      <c r="F46">
        <v>0.28</v>
      </c>
      <c r="G46">
        <v>0.052</v>
      </c>
      <c r="H46" t="s">
        <v>679</v>
      </c>
      <c r="I46" s="226"/>
      <c r="J46" s="235"/>
      <c r="K46" s="174"/>
      <c r="L46" s="183" t="s">
        <v>481</v>
      </c>
      <c r="M46" s="173"/>
      <c r="N46" s="184">
        <v>0.06</v>
      </c>
    </row>
    <row r="47" spans="1:14" ht="17.25">
      <c r="A47" t="s">
        <v>482</v>
      </c>
      <c r="B47">
        <v>0.35</v>
      </c>
      <c r="C47">
        <v>0</v>
      </c>
      <c r="D47" t="s">
        <v>678</v>
      </c>
      <c r="E47" t="s">
        <v>441</v>
      </c>
      <c r="F47">
        <v>0.28</v>
      </c>
      <c r="G47">
        <v>0.052</v>
      </c>
      <c r="H47" t="s">
        <v>679</v>
      </c>
      <c r="I47" s="226"/>
      <c r="J47" s="235"/>
      <c r="K47" s="174"/>
      <c r="L47" s="183" t="s">
        <v>483</v>
      </c>
      <c r="M47" s="173"/>
      <c r="N47" s="184">
        <v>0.04</v>
      </c>
    </row>
    <row r="48" spans="1:14" ht="17.25">
      <c r="A48" t="s">
        <v>484</v>
      </c>
      <c r="B48">
        <v>0.35</v>
      </c>
      <c r="C48">
        <v>0</v>
      </c>
      <c r="D48" t="s">
        <v>678</v>
      </c>
      <c r="E48" t="s">
        <v>485</v>
      </c>
      <c r="F48">
        <v>2.53</v>
      </c>
      <c r="G48">
        <v>0.25</v>
      </c>
      <c r="H48" t="s">
        <v>679</v>
      </c>
      <c r="I48" s="226"/>
      <c r="J48" s="235"/>
      <c r="K48" s="198"/>
      <c r="L48" s="179" t="s">
        <v>486</v>
      </c>
      <c r="M48" s="173"/>
      <c r="N48" s="239">
        <v>0.02</v>
      </c>
    </row>
    <row r="49" spans="1:14" ht="18" thickBot="1">
      <c r="A49" t="s">
        <v>487</v>
      </c>
      <c r="B49">
        <v>0.245</v>
      </c>
      <c r="C49">
        <v>0</v>
      </c>
      <c r="D49" t="s">
        <v>678</v>
      </c>
      <c r="E49" t="s">
        <v>488</v>
      </c>
      <c r="F49">
        <v>2.16</v>
      </c>
      <c r="G49">
        <v>0.25</v>
      </c>
      <c r="H49" t="s">
        <v>679</v>
      </c>
      <c r="I49" s="236"/>
      <c r="J49" s="240"/>
      <c r="K49" s="241" t="s">
        <v>379</v>
      </c>
      <c r="L49" s="242"/>
      <c r="M49" s="218"/>
      <c r="N49" s="243">
        <v>0.05</v>
      </c>
    </row>
    <row r="50" spans="1:8" ht="17.25">
      <c r="A50" t="s">
        <v>489</v>
      </c>
      <c r="B50">
        <v>0.4</v>
      </c>
      <c r="C50">
        <v>0</v>
      </c>
      <c r="D50" t="s">
        <v>678</v>
      </c>
      <c r="E50" t="s">
        <v>490</v>
      </c>
      <c r="F50">
        <v>2.16</v>
      </c>
      <c r="G50">
        <v>0.25</v>
      </c>
      <c r="H50" t="s">
        <v>679</v>
      </c>
    </row>
    <row r="51" spans="1:8" ht="17.25">
      <c r="A51" t="s">
        <v>491</v>
      </c>
      <c r="B51">
        <v>0.065</v>
      </c>
      <c r="C51">
        <v>0</v>
      </c>
      <c r="D51" t="s">
        <v>678</v>
      </c>
      <c r="E51" t="s">
        <v>492</v>
      </c>
      <c r="F51">
        <v>1.93</v>
      </c>
      <c r="G51">
        <v>0.25</v>
      </c>
      <c r="H51" t="s">
        <v>679</v>
      </c>
    </row>
    <row r="52" spans="1:8" ht="17.25">
      <c r="A52" t="s">
        <v>493</v>
      </c>
      <c r="B52">
        <v>0.3</v>
      </c>
      <c r="C52">
        <v>0</v>
      </c>
      <c r="D52" t="s">
        <v>678</v>
      </c>
      <c r="E52" t="s">
        <v>494</v>
      </c>
      <c r="F52">
        <v>1.3</v>
      </c>
      <c r="G52">
        <v>0.25</v>
      </c>
      <c r="H52" t="s">
        <v>679</v>
      </c>
    </row>
    <row r="53" spans="1:8" ht="17.25">
      <c r="A53" t="s">
        <v>495</v>
      </c>
      <c r="B53">
        <v>0.35</v>
      </c>
      <c r="C53">
        <v>0</v>
      </c>
      <c r="D53" t="s">
        <v>678</v>
      </c>
      <c r="E53" t="s">
        <v>496</v>
      </c>
      <c r="F53">
        <v>0.7</v>
      </c>
      <c r="G53">
        <v>0.09</v>
      </c>
      <c r="H53" t="s">
        <v>679</v>
      </c>
    </row>
    <row r="54" spans="1:8" ht="17.25">
      <c r="A54" t="s">
        <v>497</v>
      </c>
      <c r="B54">
        <v>0.35</v>
      </c>
      <c r="C54">
        <v>0</v>
      </c>
      <c r="D54" t="s">
        <v>678</v>
      </c>
      <c r="E54" t="s">
        <v>498</v>
      </c>
      <c r="F54">
        <v>0.7</v>
      </c>
      <c r="G54">
        <v>0.09</v>
      </c>
      <c r="H54" t="s">
        <v>679</v>
      </c>
    </row>
    <row r="55" spans="1:8" ht="17.25">
      <c r="A55" t="s">
        <v>499</v>
      </c>
      <c r="B55">
        <v>0.098</v>
      </c>
      <c r="C55">
        <v>0</v>
      </c>
      <c r="D55" t="s">
        <v>678</v>
      </c>
      <c r="E55" t="s">
        <v>500</v>
      </c>
      <c r="F55">
        <v>0.7</v>
      </c>
      <c r="G55">
        <v>0.09</v>
      </c>
      <c r="H55" t="s">
        <v>679</v>
      </c>
    </row>
    <row r="56" spans="1:8" ht="17.25">
      <c r="A56" t="s">
        <v>501</v>
      </c>
      <c r="B56">
        <v>0.0325</v>
      </c>
      <c r="C56">
        <v>0</v>
      </c>
      <c r="D56" t="s">
        <v>678</v>
      </c>
      <c r="E56" t="s">
        <v>502</v>
      </c>
      <c r="F56">
        <v>0.7</v>
      </c>
      <c r="G56">
        <v>0.09</v>
      </c>
      <c r="H56" t="s">
        <v>679</v>
      </c>
    </row>
    <row r="57" spans="1:8" ht="17.25">
      <c r="A57" t="s">
        <v>390</v>
      </c>
      <c r="B57">
        <v>0.4</v>
      </c>
      <c r="C57">
        <v>0</v>
      </c>
      <c r="D57" t="s">
        <v>678</v>
      </c>
      <c r="E57" t="s">
        <v>503</v>
      </c>
      <c r="F57">
        <v>0.49</v>
      </c>
      <c r="G57">
        <v>0.06</v>
      </c>
      <c r="H57" t="s">
        <v>679</v>
      </c>
    </row>
    <row r="58" spans="1:8" ht="17.25">
      <c r="A58" t="s">
        <v>392</v>
      </c>
      <c r="B58">
        <v>0.4</v>
      </c>
      <c r="C58">
        <v>0</v>
      </c>
      <c r="D58" t="s">
        <v>678</v>
      </c>
      <c r="E58" t="s">
        <v>504</v>
      </c>
      <c r="F58">
        <v>0.49</v>
      </c>
      <c r="G58">
        <v>0.06</v>
      </c>
      <c r="H58" t="s">
        <v>679</v>
      </c>
    </row>
    <row r="59" spans="1:8" ht="17.25">
      <c r="A59" t="s">
        <v>400</v>
      </c>
      <c r="B59">
        <v>0.13</v>
      </c>
      <c r="C59">
        <v>0</v>
      </c>
      <c r="D59" t="s">
        <v>678</v>
      </c>
      <c r="E59" t="s">
        <v>505</v>
      </c>
      <c r="F59">
        <v>2.53</v>
      </c>
      <c r="G59">
        <v>0.25</v>
      </c>
      <c r="H59" t="s">
        <v>679</v>
      </c>
    </row>
    <row r="60" spans="1:8" ht="17.25">
      <c r="A60" t="s">
        <v>381</v>
      </c>
      <c r="B60">
        <v>1.8</v>
      </c>
      <c r="C60">
        <v>0</v>
      </c>
      <c r="D60" t="s">
        <v>679</v>
      </c>
      <c r="E60" t="s">
        <v>506</v>
      </c>
      <c r="F60">
        <v>2.16</v>
      </c>
      <c r="G60">
        <v>0.25</v>
      </c>
      <c r="H60" t="s">
        <v>679</v>
      </c>
    </row>
    <row r="61" spans="1:8" ht="17.25">
      <c r="A61" t="s">
        <v>395</v>
      </c>
      <c r="B61">
        <v>0.4</v>
      </c>
      <c r="C61">
        <v>0</v>
      </c>
      <c r="D61" t="s">
        <v>678</v>
      </c>
      <c r="E61" t="s">
        <v>507</v>
      </c>
      <c r="F61">
        <v>2.16</v>
      </c>
      <c r="G61">
        <v>0.25</v>
      </c>
      <c r="H61" t="s">
        <v>679</v>
      </c>
    </row>
    <row r="62" spans="1:8" ht="17.25">
      <c r="A62" t="s">
        <v>403</v>
      </c>
      <c r="B62">
        <v>0.13</v>
      </c>
      <c r="C62">
        <v>0</v>
      </c>
      <c r="D62" t="s">
        <v>678</v>
      </c>
      <c r="E62" t="s">
        <v>508</v>
      </c>
      <c r="F62">
        <v>1.93</v>
      </c>
      <c r="G62">
        <v>0.25</v>
      </c>
      <c r="H62" t="s">
        <v>679</v>
      </c>
    </row>
    <row r="63" spans="1:8" ht="17.25">
      <c r="A63" t="s">
        <v>384</v>
      </c>
      <c r="B63">
        <v>1.2</v>
      </c>
      <c r="C63">
        <v>0</v>
      </c>
      <c r="D63" t="s">
        <v>679</v>
      </c>
      <c r="E63" t="s">
        <v>509</v>
      </c>
      <c r="F63">
        <v>1.93</v>
      </c>
      <c r="G63">
        <v>0.25</v>
      </c>
      <c r="H63" t="s">
        <v>679</v>
      </c>
    </row>
    <row r="64" spans="1:8" ht="17.25">
      <c r="A64" t="s">
        <v>386</v>
      </c>
      <c r="B64">
        <v>0.9</v>
      </c>
      <c r="C64">
        <v>0</v>
      </c>
      <c r="D64" t="s">
        <v>679</v>
      </c>
      <c r="E64" t="s">
        <v>510</v>
      </c>
      <c r="F64">
        <v>1.3</v>
      </c>
      <c r="G64">
        <v>0.25</v>
      </c>
      <c r="H64" t="s">
        <v>679</v>
      </c>
    </row>
    <row r="65" spans="1:8" ht="17.25">
      <c r="A65" t="s">
        <v>511</v>
      </c>
      <c r="B65">
        <v>0.07</v>
      </c>
      <c r="C65">
        <v>0</v>
      </c>
      <c r="D65" t="s">
        <v>678</v>
      </c>
      <c r="E65" t="s">
        <v>512</v>
      </c>
      <c r="F65">
        <v>0.7</v>
      </c>
      <c r="G65">
        <v>0.09</v>
      </c>
      <c r="H65" t="s">
        <v>679</v>
      </c>
    </row>
    <row r="66" spans="1:8" ht="17.25">
      <c r="A66" t="s">
        <v>388</v>
      </c>
      <c r="B66">
        <v>0.7</v>
      </c>
      <c r="C66">
        <v>0</v>
      </c>
      <c r="D66" t="s">
        <v>679</v>
      </c>
      <c r="E66" t="s">
        <v>513</v>
      </c>
      <c r="F66">
        <v>0.7</v>
      </c>
      <c r="G66">
        <v>0.09</v>
      </c>
      <c r="H66" t="s">
        <v>679</v>
      </c>
    </row>
    <row r="67" spans="1:8" ht="17.25">
      <c r="A67" t="s">
        <v>514</v>
      </c>
      <c r="B67">
        <v>0.1</v>
      </c>
      <c r="C67">
        <v>0</v>
      </c>
      <c r="D67" t="s">
        <v>678</v>
      </c>
      <c r="E67" t="s">
        <v>515</v>
      </c>
      <c r="F67">
        <v>0.49</v>
      </c>
      <c r="G67">
        <v>0.06</v>
      </c>
      <c r="H67" t="s">
        <v>679</v>
      </c>
    </row>
    <row r="68" spans="1:8" ht="17.25">
      <c r="A68" t="s">
        <v>516</v>
      </c>
      <c r="B68">
        <v>0.03</v>
      </c>
      <c r="C68">
        <v>0</v>
      </c>
      <c r="D68" t="s">
        <v>678</v>
      </c>
      <c r="E68" t="s">
        <v>517</v>
      </c>
      <c r="F68">
        <v>0.49</v>
      </c>
      <c r="G68">
        <v>0.06</v>
      </c>
      <c r="H68" t="s">
        <v>679</v>
      </c>
    </row>
    <row r="69" spans="1:8" ht="17.25">
      <c r="A69" t="s">
        <v>518</v>
      </c>
      <c r="B69">
        <v>0.1</v>
      </c>
      <c r="C69">
        <v>0</v>
      </c>
      <c r="D69" t="s">
        <v>678</v>
      </c>
      <c r="E69" t="s">
        <v>519</v>
      </c>
      <c r="F69">
        <v>0.75</v>
      </c>
      <c r="G69">
        <v>0.065</v>
      </c>
      <c r="H69" t="s">
        <v>679</v>
      </c>
    </row>
    <row r="70" spans="1:8" ht="17.25">
      <c r="A70" t="s">
        <v>520</v>
      </c>
      <c r="B70">
        <v>0.07</v>
      </c>
      <c r="C70">
        <v>0</v>
      </c>
      <c r="D70" t="s">
        <v>678</v>
      </c>
      <c r="E70" t="s">
        <v>521</v>
      </c>
      <c r="F70">
        <v>0.65</v>
      </c>
      <c r="G70">
        <v>0.065</v>
      </c>
      <c r="H70" t="s">
        <v>679</v>
      </c>
    </row>
    <row r="71" spans="1:8" ht="17.25">
      <c r="A71" t="s">
        <v>522</v>
      </c>
      <c r="B71">
        <v>0.03</v>
      </c>
      <c r="C71">
        <v>0</v>
      </c>
      <c r="D71" t="s">
        <v>678</v>
      </c>
      <c r="E71" t="s">
        <v>523</v>
      </c>
      <c r="F71">
        <v>0.65</v>
      </c>
      <c r="G71">
        <v>0.065</v>
      </c>
      <c r="H71" t="s">
        <v>679</v>
      </c>
    </row>
    <row r="72" spans="1:8" ht="17.25">
      <c r="A72" t="s">
        <v>498</v>
      </c>
      <c r="B72">
        <v>0.7</v>
      </c>
      <c r="C72">
        <v>0.09</v>
      </c>
      <c r="D72" t="s">
        <v>679</v>
      </c>
      <c r="E72" t="s">
        <v>524</v>
      </c>
      <c r="F72">
        <v>0.56</v>
      </c>
      <c r="G72">
        <v>0.065</v>
      </c>
      <c r="H72" t="s">
        <v>679</v>
      </c>
    </row>
    <row r="73" spans="1:8" ht="17.25">
      <c r="A73" t="s">
        <v>502</v>
      </c>
      <c r="B73">
        <v>0.7</v>
      </c>
      <c r="C73">
        <v>0.09</v>
      </c>
      <c r="D73" t="s">
        <v>679</v>
      </c>
      <c r="E73" t="s">
        <v>525</v>
      </c>
      <c r="F73">
        <v>0.56</v>
      </c>
      <c r="G73">
        <v>0.065</v>
      </c>
      <c r="H73" t="s">
        <v>679</v>
      </c>
    </row>
    <row r="74" spans="1:8" ht="17.25">
      <c r="A74" t="s">
        <v>504</v>
      </c>
      <c r="B74">
        <v>0.49</v>
      </c>
      <c r="C74">
        <v>0.06</v>
      </c>
      <c r="D74" t="s">
        <v>679</v>
      </c>
      <c r="E74" t="s">
        <v>526</v>
      </c>
      <c r="F74">
        <v>0.46</v>
      </c>
      <c r="G74">
        <v>0.065</v>
      </c>
      <c r="H74" t="s">
        <v>679</v>
      </c>
    </row>
    <row r="75" spans="1:8" ht="17.25">
      <c r="A75" t="s">
        <v>485</v>
      </c>
      <c r="B75">
        <v>2.53</v>
      </c>
      <c r="C75">
        <v>0.25</v>
      </c>
      <c r="D75" t="s">
        <v>679</v>
      </c>
      <c r="E75" t="s">
        <v>527</v>
      </c>
      <c r="F75">
        <v>0.35</v>
      </c>
      <c r="G75">
        <v>0.023</v>
      </c>
      <c r="H75" t="s">
        <v>678</v>
      </c>
    </row>
    <row r="76" spans="1:8" ht="17.25">
      <c r="A76" t="s">
        <v>494</v>
      </c>
      <c r="B76">
        <v>1.3</v>
      </c>
      <c r="C76">
        <v>0.25</v>
      </c>
      <c r="D76" t="s">
        <v>679</v>
      </c>
      <c r="E76" t="s">
        <v>528</v>
      </c>
      <c r="F76">
        <v>0.35</v>
      </c>
      <c r="G76">
        <v>0.023</v>
      </c>
      <c r="H76" t="s">
        <v>678</v>
      </c>
    </row>
    <row r="77" spans="1:8" ht="17.25">
      <c r="A77" t="s">
        <v>496</v>
      </c>
      <c r="B77">
        <v>0.7</v>
      </c>
      <c r="C77">
        <v>0.09</v>
      </c>
      <c r="D77" t="s">
        <v>679</v>
      </c>
      <c r="E77" t="s">
        <v>529</v>
      </c>
      <c r="F77">
        <v>0.35</v>
      </c>
      <c r="G77">
        <v>0.023</v>
      </c>
      <c r="H77" t="s">
        <v>678</v>
      </c>
    </row>
    <row r="78" spans="1:8" ht="17.25">
      <c r="A78" t="s">
        <v>500</v>
      </c>
      <c r="B78">
        <v>0.7</v>
      </c>
      <c r="C78">
        <v>0.09</v>
      </c>
      <c r="D78" t="s">
        <v>679</v>
      </c>
      <c r="E78" t="s">
        <v>530</v>
      </c>
      <c r="F78">
        <v>0.35</v>
      </c>
      <c r="G78">
        <v>0.023</v>
      </c>
      <c r="H78" t="s">
        <v>678</v>
      </c>
    </row>
    <row r="79" spans="1:8" ht="17.25">
      <c r="A79" t="s">
        <v>503</v>
      </c>
      <c r="B79">
        <v>0.49</v>
      </c>
      <c r="C79">
        <v>0.06</v>
      </c>
      <c r="D79" t="s">
        <v>679</v>
      </c>
      <c r="E79" t="s">
        <v>531</v>
      </c>
      <c r="F79">
        <v>0.26</v>
      </c>
      <c r="G79">
        <v>0.017</v>
      </c>
      <c r="H79" t="s">
        <v>678</v>
      </c>
    </row>
    <row r="80" spans="1:8" ht="17.25">
      <c r="A80" t="s">
        <v>488</v>
      </c>
      <c r="B80">
        <v>2.16</v>
      </c>
      <c r="C80">
        <v>0.25</v>
      </c>
      <c r="D80" t="s">
        <v>679</v>
      </c>
      <c r="E80" t="s">
        <v>532</v>
      </c>
      <c r="F80">
        <v>0.26</v>
      </c>
      <c r="G80">
        <v>0.017</v>
      </c>
      <c r="H80" t="s">
        <v>678</v>
      </c>
    </row>
    <row r="81" spans="1:8" ht="17.25">
      <c r="A81" t="s">
        <v>490</v>
      </c>
      <c r="B81">
        <v>2.16</v>
      </c>
      <c r="C81">
        <v>0.25</v>
      </c>
      <c r="D81" t="s">
        <v>679</v>
      </c>
      <c r="E81" t="s">
        <v>533</v>
      </c>
      <c r="F81">
        <v>0.26</v>
      </c>
      <c r="G81">
        <v>0.017</v>
      </c>
      <c r="H81" t="s">
        <v>678</v>
      </c>
    </row>
    <row r="82" spans="1:8" ht="17.25">
      <c r="A82" t="s">
        <v>492</v>
      </c>
      <c r="B82">
        <v>1.93</v>
      </c>
      <c r="C82">
        <v>0.25</v>
      </c>
      <c r="D82" t="s">
        <v>679</v>
      </c>
      <c r="E82" t="s">
        <v>534</v>
      </c>
      <c r="F82">
        <v>0.26</v>
      </c>
      <c r="G82">
        <v>0.017</v>
      </c>
      <c r="H82" t="s">
        <v>678</v>
      </c>
    </row>
    <row r="83" spans="1:8" ht="17.25">
      <c r="A83" t="s">
        <v>535</v>
      </c>
      <c r="B83">
        <v>0.2</v>
      </c>
      <c r="C83">
        <v>0</v>
      </c>
      <c r="D83" t="s">
        <v>678</v>
      </c>
      <c r="E83" t="s">
        <v>536</v>
      </c>
      <c r="F83">
        <v>1.2</v>
      </c>
      <c r="G83">
        <v>0</v>
      </c>
      <c r="H83" t="s">
        <v>678</v>
      </c>
    </row>
    <row r="84" spans="1:8" ht="17.25">
      <c r="A84" t="s">
        <v>537</v>
      </c>
      <c r="B84">
        <v>0.2</v>
      </c>
      <c r="C84">
        <v>0</v>
      </c>
      <c r="D84" t="s">
        <v>678</v>
      </c>
      <c r="E84" t="s">
        <v>538</v>
      </c>
      <c r="F84">
        <v>0.6</v>
      </c>
      <c r="G84">
        <v>0</v>
      </c>
      <c r="H84" t="s">
        <v>678</v>
      </c>
    </row>
    <row r="85" spans="1:8" ht="17.25">
      <c r="A85" t="s">
        <v>539</v>
      </c>
      <c r="B85">
        <v>0.065</v>
      </c>
      <c r="C85">
        <v>0</v>
      </c>
      <c r="D85" t="s">
        <v>678</v>
      </c>
      <c r="E85" t="s">
        <v>540</v>
      </c>
      <c r="F85">
        <v>0.6</v>
      </c>
      <c r="G85">
        <v>0</v>
      </c>
      <c r="H85" t="s">
        <v>678</v>
      </c>
    </row>
    <row r="86" spans="1:8" ht="17.25">
      <c r="A86" t="s">
        <v>541</v>
      </c>
      <c r="B86">
        <v>0.6</v>
      </c>
      <c r="C86">
        <v>0</v>
      </c>
      <c r="D86" t="s">
        <v>678</v>
      </c>
      <c r="E86" t="s">
        <v>542</v>
      </c>
      <c r="F86">
        <v>0.25</v>
      </c>
      <c r="G86">
        <v>0</v>
      </c>
      <c r="H86" t="s">
        <v>678</v>
      </c>
    </row>
    <row r="87" spans="1:8" ht="17.25">
      <c r="A87" t="s">
        <v>543</v>
      </c>
      <c r="B87">
        <v>0.35</v>
      </c>
      <c r="C87">
        <v>0</v>
      </c>
      <c r="D87" t="s">
        <v>678</v>
      </c>
      <c r="E87" t="s">
        <v>544</v>
      </c>
      <c r="F87">
        <v>0.25</v>
      </c>
      <c r="G87">
        <v>0</v>
      </c>
      <c r="H87" t="s">
        <v>678</v>
      </c>
    </row>
    <row r="88" spans="1:8" ht="17.25">
      <c r="A88" t="s">
        <v>545</v>
      </c>
      <c r="B88">
        <v>0.35</v>
      </c>
      <c r="C88">
        <v>0</v>
      </c>
      <c r="D88" t="s">
        <v>678</v>
      </c>
      <c r="E88" t="s">
        <v>546</v>
      </c>
      <c r="F88">
        <v>0.25</v>
      </c>
      <c r="G88">
        <v>0</v>
      </c>
      <c r="H88" t="s">
        <v>678</v>
      </c>
    </row>
    <row r="89" spans="1:8" ht="17.25">
      <c r="A89" t="s">
        <v>547</v>
      </c>
      <c r="B89">
        <v>0.245</v>
      </c>
      <c r="C89">
        <v>0</v>
      </c>
      <c r="D89" t="s">
        <v>678</v>
      </c>
      <c r="E89" t="s">
        <v>548</v>
      </c>
      <c r="F89">
        <v>0.08</v>
      </c>
      <c r="G89">
        <v>0</v>
      </c>
      <c r="H89" t="s">
        <v>678</v>
      </c>
    </row>
    <row r="90" spans="1:8" ht="17.25">
      <c r="A90" t="s">
        <v>549</v>
      </c>
      <c r="B90">
        <v>0.065</v>
      </c>
      <c r="C90">
        <v>0</v>
      </c>
      <c r="D90" t="s">
        <v>678</v>
      </c>
      <c r="E90" t="s">
        <v>550</v>
      </c>
      <c r="F90">
        <v>0.08</v>
      </c>
      <c r="G90">
        <v>0</v>
      </c>
      <c r="H90" t="s">
        <v>678</v>
      </c>
    </row>
    <row r="91" spans="1:8" ht="17.25">
      <c r="A91" t="s">
        <v>551</v>
      </c>
      <c r="B91">
        <v>0.45</v>
      </c>
      <c r="C91">
        <v>0</v>
      </c>
      <c r="D91" t="s">
        <v>678</v>
      </c>
      <c r="E91" t="s">
        <v>552</v>
      </c>
      <c r="F91">
        <v>0.06</v>
      </c>
      <c r="G91">
        <v>0</v>
      </c>
      <c r="H91" t="s">
        <v>678</v>
      </c>
    </row>
    <row r="92" spans="1:8" ht="17.25">
      <c r="A92" t="s">
        <v>553</v>
      </c>
      <c r="B92">
        <v>0.32</v>
      </c>
      <c r="C92">
        <v>0</v>
      </c>
      <c r="D92" t="s">
        <v>678</v>
      </c>
      <c r="E92" t="s">
        <v>554</v>
      </c>
      <c r="F92">
        <v>0.06</v>
      </c>
      <c r="G92">
        <v>0</v>
      </c>
      <c r="H92" t="s">
        <v>678</v>
      </c>
    </row>
    <row r="93" spans="1:8" ht="17.25">
      <c r="A93" t="s">
        <v>555</v>
      </c>
      <c r="B93">
        <v>0.35</v>
      </c>
      <c r="C93">
        <v>0</v>
      </c>
      <c r="D93" t="s">
        <v>678</v>
      </c>
      <c r="E93" t="s">
        <v>556</v>
      </c>
      <c r="F93">
        <v>0.04</v>
      </c>
      <c r="G93">
        <v>0</v>
      </c>
      <c r="H93" t="s">
        <v>678</v>
      </c>
    </row>
    <row r="94" spans="1:8" ht="17.25">
      <c r="A94" t="s">
        <v>557</v>
      </c>
      <c r="B94">
        <v>0.35</v>
      </c>
      <c r="C94">
        <v>0</v>
      </c>
      <c r="D94" t="s">
        <v>678</v>
      </c>
      <c r="E94" t="s">
        <v>558</v>
      </c>
      <c r="F94">
        <v>0.04</v>
      </c>
      <c r="G94">
        <v>0</v>
      </c>
      <c r="H94" t="s">
        <v>678</v>
      </c>
    </row>
    <row r="95" spans="1:8" ht="17.25">
      <c r="A95" t="s">
        <v>559</v>
      </c>
      <c r="B95">
        <v>0.098</v>
      </c>
      <c r="C95">
        <v>0</v>
      </c>
      <c r="D95" t="s">
        <v>678</v>
      </c>
      <c r="E95" t="s">
        <v>560</v>
      </c>
      <c r="F95">
        <v>0.02</v>
      </c>
      <c r="G95">
        <v>0</v>
      </c>
      <c r="H95" t="s">
        <v>678</v>
      </c>
    </row>
    <row r="96" spans="1:8" ht="17.25">
      <c r="A96" t="s">
        <v>561</v>
      </c>
      <c r="B96">
        <v>0.35</v>
      </c>
      <c r="C96">
        <v>0</v>
      </c>
      <c r="D96" t="s">
        <v>678</v>
      </c>
      <c r="E96" t="s">
        <v>562</v>
      </c>
      <c r="F96">
        <v>0.02</v>
      </c>
      <c r="G96">
        <v>0</v>
      </c>
      <c r="H96" t="s">
        <v>678</v>
      </c>
    </row>
    <row r="97" spans="1:8" ht="17.25">
      <c r="A97" t="s">
        <v>563</v>
      </c>
      <c r="B97">
        <v>0.0325</v>
      </c>
      <c r="C97">
        <v>0</v>
      </c>
      <c r="D97" t="s">
        <v>678</v>
      </c>
      <c r="E97" t="s">
        <v>564</v>
      </c>
      <c r="F97">
        <v>1.2</v>
      </c>
      <c r="G97">
        <v>0.2</v>
      </c>
      <c r="H97" t="s">
        <v>679</v>
      </c>
    </row>
    <row r="98" spans="1:8" ht="17.25">
      <c r="A98" t="s">
        <v>565</v>
      </c>
      <c r="B98">
        <v>0.25</v>
      </c>
      <c r="C98">
        <v>0</v>
      </c>
      <c r="D98" t="s">
        <v>678</v>
      </c>
      <c r="E98" t="s">
        <v>566</v>
      </c>
      <c r="F98">
        <v>1.02</v>
      </c>
      <c r="G98">
        <v>0.2</v>
      </c>
      <c r="H98" t="s">
        <v>679</v>
      </c>
    </row>
    <row r="99" spans="1:8" ht="17.25">
      <c r="A99" t="s">
        <v>415</v>
      </c>
      <c r="B99">
        <v>0.4</v>
      </c>
      <c r="C99">
        <v>0</v>
      </c>
      <c r="D99" t="s">
        <v>678</v>
      </c>
      <c r="E99" t="s">
        <v>567</v>
      </c>
      <c r="F99">
        <v>1.02</v>
      </c>
      <c r="G99">
        <v>0.2</v>
      </c>
      <c r="H99" t="s">
        <v>679</v>
      </c>
    </row>
    <row r="100" spans="1:8" ht="17.25">
      <c r="A100" t="s">
        <v>417</v>
      </c>
      <c r="B100">
        <v>0.4</v>
      </c>
      <c r="C100">
        <v>0</v>
      </c>
      <c r="D100" t="s">
        <v>678</v>
      </c>
      <c r="E100" t="s">
        <v>568</v>
      </c>
      <c r="F100">
        <v>0.7</v>
      </c>
      <c r="G100">
        <v>0.2</v>
      </c>
      <c r="H100" t="s">
        <v>679</v>
      </c>
    </row>
    <row r="101" spans="1:8" ht="17.25">
      <c r="A101" t="s">
        <v>424</v>
      </c>
      <c r="B101">
        <v>0.13</v>
      </c>
      <c r="C101">
        <v>0</v>
      </c>
      <c r="D101" t="s">
        <v>678</v>
      </c>
      <c r="E101" t="s">
        <v>569</v>
      </c>
      <c r="F101">
        <v>0.5</v>
      </c>
      <c r="G101">
        <v>0.2</v>
      </c>
      <c r="H101" t="s">
        <v>679</v>
      </c>
    </row>
    <row r="102" spans="1:8" ht="17.25">
      <c r="A102" t="s">
        <v>420</v>
      </c>
      <c r="B102">
        <v>0.4</v>
      </c>
      <c r="C102">
        <v>0</v>
      </c>
      <c r="D102" t="s">
        <v>678</v>
      </c>
      <c r="E102" t="s">
        <v>570</v>
      </c>
      <c r="F102">
        <v>0.5</v>
      </c>
      <c r="G102">
        <v>0.2</v>
      </c>
      <c r="H102" t="s">
        <v>679</v>
      </c>
    </row>
    <row r="103" spans="1:8" ht="17.25">
      <c r="A103" t="s">
        <v>428</v>
      </c>
      <c r="B103">
        <v>0.13</v>
      </c>
      <c r="C103">
        <v>0</v>
      </c>
      <c r="D103" t="s">
        <v>678</v>
      </c>
      <c r="E103" t="s">
        <v>571</v>
      </c>
      <c r="F103">
        <v>0.5</v>
      </c>
      <c r="G103">
        <v>0.2</v>
      </c>
      <c r="H103" t="s">
        <v>679</v>
      </c>
    </row>
    <row r="104" spans="1:8" ht="17.25">
      <c r="A104" t="s">
        <v>407</v>
      </c>
      <c r="B104">
        <v>1.2</v>
      </c>
      <c r="C104">
        <v>0</v>
      </c>
      <c r="D104" t="s">
        <v>679</v>
      </c>
      <c r="E104" t="s">
        <v>572</v>
      </c>
      <c r="F104">
        <v>0.4</v>
      </c>
      <c r="G104">
        <v>0.08</v>
      </c>
      <c r="H104" t="s">
        <v>679</v>
      </c>
    </row>
    <row r="105" spans="1:8" ht="17.25">
      <c r="A105" t="s">
        <v>408</v>
      </c>
      <c r="B105">
        <v>0.9</v>
      </c>
      <c r="C105">
        <v>0</v>
      </c>
      <c r="D105" t="s">
        <v>679</v>
      </c>
      <c r="E105" t="s">
        <v>573</v>
      </c>
      <c r="F105">
        <v>0.4</v>
      </c>
      <c r="G105">
        <v>0.08</v>
      </c>
      <c r="H105" t="s">
        <v>679</v>
      </c>
    </row>
    <row r="106" spans="1:8" ht="17.25">
      <c r="A106" t="s">
        <v>409</v>
      </c>
      <c r="B106">
        <v>0.7</v>
      </c>
      <c r="C106">
        <v>0</v>
      </c>
      <c r="D106" t="s">
        <v>679</v>
      </c>
      <c r="E106" t="s">
        <v>574</v>
      </c>
      <c r="F106">
        <v>0.4</v>
      </c>
      <c r="G106">
        <v>0.08</v>
      </c>
      <c r="H106" t="s">
        <v>679</v>
      </c>
    </row>
    <row r="107" spans="1:8" ht="17.25">
      <c r="A107" t="s">
        <v>412</v>
      </c>
      <c r="B107">
        <v>0.49</v>
      </c>
      <c r="C107">
        <v>0</v>
      </c>
      <c r="D107" t="s">
        <v>679</v>
      </c>
      <c r="E107" t="s">
        <v>575</v>
      </c>
      <c r="F107">
        <v>0.4</v>
      </c>
      <c r="G107">
        <v>0.08</v>
      </c>
      <c r="H107" t="s">
        <v>679</v>
      </c>
    </row>
    <row r="108" spans="1:8" ht="17.25">
      <c r="A108" t="s">
        <v>513</v>
      </c>
      <c r="B108">
        <v>0.7</v>
      </c>
      <c r="C108">
        <v>0.09</v>
      </c>
      <c r="D108" t="s">
        <v>679</v>
      </c>
      <c r="E108" t="s">
        <v>576</v>
      </c>
      <c r="F108">
        <v>0.28</v>
      </c>
      <c r="G108">
        <v>0.052</v>
      </c>
      <c r="H108" t="s">
        <v>679</v>
      </c>
    </row>
    <row r="109" spans="1:8" ht="17.25">
      <c r="A109" t="s">
        <v>517</v>
      </c>
      <c r="B109">
        <v>0.49</v>
      </c>
      <c r="C109">
        <v>0.06</v>
      </c>
      <c r="D109" t="s">
        <v>679</v>
      </c>
      <c r="E109" t="s">
        <v>577</v>
      </c>
      <c r="F109">
        <v>0.28</v>
      </c>
      <c r="G109">
        <v>0.052</v>
      </c>
      <c r="H109" t="s">
        <v>679</v>
      </c>
    </row>
    <row r="110" spans="1:8" ht="17.25">
      <c r="A110" t="s">
        <v>505</v>
      </c>
      <c r="B110">
        <v>2.53</v>
      </c>
      <c r="C110">
        <v>0.25</v>
      </c>
      <c r="D110" t="s">
        <v>679</v>
      </c>
      <c r="E110" t="s">
        <v>578</v>
      </c>
      <c r="F110">
        <v>0.28</v>
      </c>
      <c r="G110">
        <v>0.052</v>
      </c>
      <c r="H110" t="s">
        <v>679</v>
      </c>
    </row>
    <row r="111" spans="1:8" ht="17.25">
      <c r="A111" t="s">
        <v>510</v>
      </c>
      <c r="B111">
        <v>1.3</v>
      </c>
      <c r="C111">
        <v>0.25</v>
      </c>
      <c r="D111" t="s">
        <v>679</v>
      </c>
      <c r="E111" t="s">
        <v>579</v>
      </c>
      <c r="F111">
        <v>0.28</v>
      </c>
      <c r="G111">
        <v>0.052</v>
      </c>
      <c r="H111" t="s">
        <v>679</v>
      </c>
    </row>
    <row r="112" spans="1:8" ht="17.25">
      <c r="A112" t="s">
        <v>512</v>
      </c>
      <c r="B112">
        <v>0.7</v>
      </c>
      <c r="C112">
        <v>0.09</v>
      </c>
      <c r="D112" t="s">
        <v>679</v>
      </c>
      <c r="E112" t="s">
        <v>231</v>
      </c>
      <c r="F112">
        <v>0</v>
      </c>
      <c r="G112">
        <v>0</v>
      </c>
      <c r="H112" t="s">
        <v>678</v>
      </c>
    </row>
    <row r="113" spans="1:8" ht="17.25">
      <c r="A113" t="s">
        <v>515</v>
      </c>
      <c r="B113">
        <v>0.49</v>
      </c>
      <c r="C113">
        <v>0.06</v>
      </c>
      <c r="D113" t="s">
        <v>679</v>
      </c>
      <c r="E113" t="s">
        <v>349</v>
      </c>
      <c r="F113" t="s">
        <v>350</v>
      </c>
      <c r="G113">
        <v>0</v>
      </c>
      <c r="H113" t="s">
        <v>678</v>
      </c>
    </row>
    <row r="114" spans="1:8" ht="17.25">
      <c r="A114" t="s">
        <v>506</v>
      </c>
      <c r="B114">
        <v>2.16</v>
      </c>
      <c r="C114">
        <v>0.25</v>
      </c>
      <c r="D114" t="s">
        <v>679</v>
      </c>
      <c r="E114" t="s">
        <v>355</v>
      </c>
      <c r="F114">
        <v>0.5</v>
      </c>
      <c r="G114">
        <v>0</v>
      </c>
      <c r="H114" t="s">
        <v>678</v>
      </c>
    </row>
    <row r="115" spans="1:8" ht="17.25">
      <c r="A115" t="s">
        <v>507</v>
      </c>
      <c r="B115">
        <v>2.16</v>
      </c>
      <c r="C115">
        <v>0.25</v>
      </c>
      <c r="D115" t="s">
        <v>679</v>
      </c>
      <c r="E115" t="s">
        <v>377</v>
      </c>
      <c r="F115">
        <v>0.3</v>
      </c>
      <c r="G115">
        <v>0</v>
      </c>
      <c r="H115" t="s">
        <v>678</v>
      </c>
    </row>
    <row r="116" spans="1:8" ht="17.25">
      <c r="A116" t="s">
        <v>508</v>
      </c>
      <c r="B116">
        <v>1.93</v>
      </c>
      <c r="C116">
        <v>0.25</v>
      </c>
      <c r="D116" t="s">
        <v>679</v>
      </c>
      <c r="E116" t="s">
        <v>385</v>
      </c>
      <c r="F116">
        <v>0.12</v>
      </c>
      <c r="G116">
        <v>0</v>
      </c>
      <c r="H116" t="s">
        <v>678</v>
      </c>
    </row>
    <row r="117" spans="1:8" ht="17.25">
      <c r="A117" t="s">
        <v>509</v>
      </c>
      <c r="B117">
        <v>1.93</v>
      </c>
      <c r="C117">
        <v>0.25</v>
      </c>
      <c r="D117" t="s">
        <v>679</v>
      </c>
      <c r="E117" t="s">
        <v>387</v>
      </c>
      <c r="F117">
        <v>0.0625</v>
      </c>
      <c r="G117">
        <v>0</v>
      </c>
      <c r="H117" t="s">
        <v>678</v>
      </c>
    </row>
    <row r="118" spans="1:8" ht="17.25">
      <c r="A118" t="s">
        <v>580</v>
      </c>
      <c r="B118">
        <v>0.165</v>
      </c>
      <c r="C118">
        <v>0</v>
      </c>
      <c r="D118" t="s">
        <v>678</v>
      </c>
      <c r="E118" t="s">
        <v>361</v>
      </c>
      <c r="F118">
        <v>0.12</v>
      </c>
      <c r="G118">
        <v>0</v>
      </c>
      <c r="H118" t="s">
        <v>678</v>
      </c>
    </row>
    <row r="119" spans="1:8" ht="17.25">
      <c r="A119" t="s">
        <v>581</v>
      </c>
      <c r="B119">
        <v>0.165</v>
      </c>
      <c r="C119">
        <v>0</v>
      </c>
      <c r="D119" t="s">
        <v>678</v>
      </c>
      <c r="E119" t="s">
        <v>367</v>
      </c>
      <c r="F119">
        <v>0.12</v>
      </c>
      <c r="G119">
        <v>0</v>
      </c>
      <c r="H119" t="s">
        <v>678</v>
      </c>
    </row>
    <row r="120" spans="1:8" ht="17.25">
      <c r="A120" t="s">
        <v>582</v>
      </c>
      <c r="B120">
        <v>0.05</v>
      </c>
      <c r="C120">
        <v>0</v>
      </c>
      <c r="D120" t="s">
        <v>678</v>
      </c>
      <c r="E120" t="s">
        <v>336</v>
      </c>
      <c r="F120">
        <v>0.12</v>
      </c>
      <c r="G120">
        <v>0</v>
      </c>
      <c r="H120" t="s">
        <v>678</v>
      </c>
    </row>
    <row r="121" spans="1:8" ht="17.25">
      <c r="A121" t="s">
        <v>583</v>
      </c>
      <c r="B121" t="s">
        <v>350</v>
      </c>
      <c r="C121">
        <v>0</v>
      </c>
      <c r="D121" t="s">
        <v>678</v>
      </c>
      <c r="E121" t="s">
        <v>343</v>
      </c>
      <c r="F121">
        <v>0.04</v>
      </c>
      <c r="G121">
        <v>0</v>
      </c>
      <c r="H121" t="s">
        <v>678</v>
      </c>
    </row>
    <row r="122" spans="1:8" ht="17.25">
      <c r="A122" t="s">
        <v>584</v>
      </c>
      <c r="B122">
        <v>0.38</v>
      </c>
      <c r="C122">
        <v>0</v>
      </c>
      <c r="D122" t="s">
        <v>678</v>
      </c>
      <c r="E122" t="s">
        <v>391</v>
      </c>
      <c r="F122">
        <v>0.02</v>
      </c>
      <c r="G122">
        <v>0</v>
      </c>
      <c r="H122" t="s">
        <v>678</v>
      </c>
    </row>
    <row r="123" spans="1:8" ht="17.25">
      <c r="A123" t="s">
        <v>585</v>
      </c>
      <c r="B123">
        <v>0.23</v>
      </c>
      <c r="C123">
        <v>0</v>
      </c>
      <c r="D123" t="s">
        <v>678</v>
      </c>
      <c r="E123" t="s">
        <v>380</v>
      </c>
      <c r="F123">
        <v>0.04</v>
      </c>
      <c r="G123">
        <v>0</v>
      </c>
      <c r="H123" t="s">
        <v>678</v>
      </c>
    </row>
    <row r="124" spans="1:8" ht="17.25">
      <c r="A124" t="s">
        <v>586</v>
      </c>
      <c r="B124">
        <v>0.18</v>
      </c>
      <c r="C124">
        <v>0</v>
      </c>
      <c r="D124" t="s">
        <v>678</v>
      </c>
      <c r="E124" t="s">
        <v>389</v>
      </c>
      <c r="F124">
        <v>0.06</v>
      </c>
      <c r="G124">
        <v>0</v>
      </c>
      <c r="H124" t="s">
        <v>678</v>
      </c>
    </row>
    <row r="125" spans="1:8" ht="17.25">
      <c r="A125" t="s">
        <v>587</v>
      </c>
      <c r="B125">
        <v>0.18</v>
      </c>
      <c r="C125">
        <v>0</v>
      </c>
      <c r="D125" t="s">
        <v>678</v>
      </c>
      <c r="E125" t="s">
        <v>373</v>
      </c>
      <c r="F125">
        <v>0.14</v>
      </c>
      <c r="G125">
        <v>0</v>
      </c>
      <c r="H125" t="s">
        <v>678</v>
      </c>
    </row>
    <row r="126" spans="1:8" ht="17.25">
      <c r="A126" t="s">
        <v>588</v>
      </c>
      <c r="B126">
        <v>0.13</v>
      </c>
      <c r="C126">
        <v>0</v>
      </c>
      <c r="D126" t="s">
        <v>678</v>
      </c>
      <c r="E126" t="s">
        <v>475</v>
      </c>
      <c r="F126" t="s">
        <v>350</v>
      </c>
      <c r="G126">
        <v>0</v>
      </c>
      <c r="H126" t="s">
        <v>678</v>
      </c>
    </row>
    <row r="127" spans="1:8" ht="17.25">
      <c r="A127" t="s">
        <v>589</v>
      </c>
      <c r="B127">
        <v>0.13</v>
      </c>
      <c r="C127">
        <v>0</v>
      </c>
      <c r="D127" t="s">
        <v>678</v>
      </c>
      <c r="E127" t="s">
        <v>478</v>
      </c>
      <c r="F127">
        <v>0.6</v>
      </c>
      <c r="G127">
        <v>0</v>
      </c>
      <c r="H127" t="s">
        <v>678</v>
      </c>
    </row>
    <row r="128" spans="1:8" ht="17.25">
      <c r="A128" t="s">
        <v>590</v>
      </c>
      <c r="B128" t="s">
        <v>350</v>
      </c>
      <c r="C128">
        <v>0</v>
      </c>
      <c r="D128" t="s">
        <v>678</v>
      </c>
      <c r="E128" t="s">
        <v>489</v>
      </c>
      <c r="F128">
        <v>0.4</v>
      </c>
      <c r="G128">
        <v>0</v>
      </c>
      <c r="H128" t="s">
        <v>678</v>
      </c>
    </row>
    <row r="129" spans="1:8" ht="17.25">
      <c r="A129" t="s">
        <v>591</v>
      </c>
      <c r="B129">
        <v>0.33</v>
      </c>
      <c r="C129">
        <v>0</v>
      </c>
      <c r="D129" t="s">
        <v>678</v>
      </c>
      <c r="E129" t="s">
        <v>497</v>
      </c>
      <c r="F129">
        <v>0.35</v>
      </c>
      <c r="G129">
        <v>0</v>
      </c>
      <c r="H129" t="s">
        <v>678</v>
      </c>
    </row>
    <row r="130" spans="1:8" ht="17.25">
      <c r="A130" t="s">
        <v>592</v>
      </c>
      <c r="B130">
        <v>0.26</v>
      </c>
      <c r="C130">
        <v>0</v>
      </c>
      <c r="D130" t="s">
        <v>678</v>
      </c>
      <c r="E130" t="s">
        <v>495</v>
      </c>
      <c r="F130">
        <v>0.35</v>
      </c>
      <c r="G130">
        <v>0</v>
      </c>
      <c r="H130" t="s">
        <v>678</v>
      </c>
    </row>
    <row r="131" spans="1:8" ht="17.25">
      <c r="A131" t="s">
        <v>593</v>
      </c>
      <c r="B131">
        <v>0.33</v>
      </c>
      <c r="C131">
        <v>0</v>
      </c>
      <c r="D131" t="s">
        <v>678</v>
      </c>
      <c r="E131" t="s">
        <v>480</v>
      </c>
      <c r="F131">
        <v>0.35</v>
      </c>
      <c r="G131">
        <v>0</v>
      </c>
      <c r="H131" t="s">
        <v>678</v>
      </c>
    </row>
    <row r="132" spans="1:8" ht="17.25">
      <c r="A132" t="s">
        <v>594</v>
      </c>
      <c r="B132">
        <v>0.245</v>
      </c>
      <c r="C132">
        <v>0</v>
      </c>
      <c r="D132" t="s">
        <v>678</v>
      </c>
      <c r="E132" t="s">
        <v>482</v>
      </c>
      <c r="F132">
        <v>0.35</v>
      </c>
      <c r="G132">
        <v>0</v>
      </c>
      <c r="H132" t="s">
        <v>678</v>
      </c>
    </row>
    <row r="133" spans="1:8" ht="17.25">
      <c r="A133" t="s">
        <v>595</v>
      </c>
      <c r="B133" t="s">
        <v>350</v>
      </c>
      <c r="C133">
        <v>0</v>
      </c>
      <c r="D133" t="s">
        <v>678</v>
      </c>
      <c r="E133" t="s">
        <v>484</v>
      </c>
      <c r="F133">
        <v>0.35</v>
      </c>
      <c r="G133">
        <v>0</v>
      </c>
      <c r="H133" t="s">
        <v>678</v>
      </c>
    </row>
    <row r="134" spans="1:8" ht="17.25">
      <c r="A134" t="s">
        <v>596</v>
      </c>
      <c r="B134">
        <v>0.28</v>
      </c>
      <c r="C134">
        <v>0</v>
      </c>
      <c r="D134" t="s">
        <v>678</v>
      </c>
      <c r="E134" t="s">
        <v>464</v>
      </c>
      <c r="F134">
        <v>0.2</v>
      </c>
      <c r="G134">
        <v>0</v>
      </c>
      <c r="H134" t="s">
        <v>678</v>
      </c>
    </row>
    <row r="135" spans="1:8" ht="17.25">
      <c r="A135" t="s">
        <v>597</v>
      </c>
      <c r="B135">
        <v>0.28</v>
      </c>
      <c r="C135">
        <v>0</v>
      </c>
      <c r="D135" t="s">
        <v>678</v>
      </c>
      <c r="E135" t="s">
        <v>467</v>
      </c>
      <c r="F135">
        <v>0.2</v>
      </c>
      <c r="G135">
        <v>0</v>
      </c>
      <c r="H135" t="s">
        <v>678</v>
      </c>
    </row>
    <row r="136" spans="1:8" ht="17.25">
      <c r="A136" t="s">
        <v>598</v>
      </c>
      <c r="B136" t="s">
        <v>350</v>
      </c>
      <c r="C136">
        <v>0</v>
      </c>
      <c r="D136" t="s">
        <v>678</v>
      </c>
      <c r="E136" t="s">
        <v>471</v>
      </c>
      <c r="F136">
        <v>0.065</v>
      </c>
      <c r="G136">
        <v>0</v>
      </c>
      <c r="H136" t="s">
        <v>678</v>
      </c>
    </row>
    <row r="137" spans="1:8" ht="17.25">
      <c r="A137" t="s">
        <v>446</v>
      </c>
      <c r="B137">
        <v>0.33</v>
      </c>
      <c r="C137">
        <v>0</v>
      </c>
      <c r="D137" t="s">
        <v>678</v>
      </c>
      <c r="E137" t="s">
        <v>501</v>
      </c>
      <c r="F137">
        <v>0.0325</v>
      </c>
      <c r="G137">
        <v>0</v>
      </c>
      <c r="H137" t="s">
        <v>678</v>
      </c>
    </row>
    <row r="138" spans="1:8" ht="17.25">
      <c r="A138" t="s">
        <v>450</v>
      </c>
      <c r="B138">
        <v>0.33</v>
      </c>
      <c r="C138">
        <v>0</v>
      </c>
      <c r="D138" t="s">
        <v>678</v>
      </c>
      <c r="E138" t="s">
        <v>491</v>
      </c>
      <c r="F138">
        <v>0.065</v>
      </c>
      <c r="G138">
        <v>0</v>
      </c>
      <c r="H138" t="s">
        <v>678</v>
      </c>
    </row>
    <row r="139" spans="1:8" ht="17.25">
      <c r="A139" t="s">
        <v>454</v>
      </c>
      <c r="B139">
        <v>0.1</v>
      </c>
      <c r="C139">
        <v>0</v>
      </c>
      <c r="D139" t="s">
        <v>678</v>
      </c>
      <c r="E139" t="s">
        <v>499</v>
      </c>
      <c r="F139">
        <v>0.098</v>
      </c>
      <c r="G139">
        <v>0</v>
      </c>
      <c r="H139" t="s">
        <v>678</v>
      </c>
    </row>
    <row r="140" spans="1:8" ht="17.25">
      <c r="A140" t="s">
        <v>452</v>
      </c>
      <c r="B140">
        <v>0.33</v>
      </c>
      <c r="C140">
        <v>0</v>
      </c>
      <c r="D140" t="s">
        <v>678</v>
      </c>
      <c r="E140" t="s">
        <v>487</v>
      </c>
      <c r="F140">
        <v>0.245</v>
      </c>
      <c r="G140">
        <v>0</v>
      </c>
      <c r="H140" t="s">
        <v>678</v>
      </c>
    </row>
    <row r="141" spans="1:8" ht="17.25">
      <c r="A141" t="s">
        <v>456</v>
      </c>
      <c r="B141">
        <v>0.1</v>
      </c>
      <c r="C141">
        <v>0</v>
      </c>
      <c r="D141" t="s">
        <v>678</v>
      </c>
      <c r="E141" t="s">
        <v>541</v>
      </c>
      <c r="F141">
        <v>0.6</v>
      </c>
      <c r="G141">
        <v>0</v>
      </c>
      <c r="H141" t="s">
        <v>678</v>
      </c>
    </row>
    <row r="142" spans="1:8" ht="17.25">
      <c r="A142" t="s">
        <v>432</v>
      </c>
      <c r="B142">
        <v>0.83</v>
      </c>
      <c r="C142">
        <v>0</v>
      </c>
      <c r="D142" t="s">
        <v>679</v>
      </c>
      <c r="E142" t="s">
        <v>551</v>
      </c>
      <c r="F142">
        <v>0.45</v>
      </c>
      <c r="G142">
        <v>0</v>
      </c>
      <c r="H142" t="s">
        <v>678</v>
      </c>
    </row>
    <row r="143" spans="1:8" ht="17.25">
      <c r="A143" t="s">
        <v>436</v>
      </c>
      <c r="B143">
        <v>0.57</v>
      </c>
      <c r="C143">
        <v>0</v>
      </c>
      <c r="D143" t="s">
        <v>679</v>
      </c>
      <c r="E143" t="s">
        <v>557</v>
      </c>
      <c r="F143">
        <v>0.35</v>
      </c>
      <c r="G143">
        <v>0</v>
      </c>
      <c r="H143" t="s">
        <v>678</v>
      </c>
    </row>
    <row r="144" spans="1:8" ht="17.25">
      <c r="A144" t="s">
        <v>440</v>
      </c>
      <c r="B144">
        <v>0.49</v>
      </c>
      <c r="C144">
        <v>0</v>
      </c>
      <c r="D144" t="s">
        <v>679</v>
      </c>
      <c r="E144" t="s">
        <v>555</v>
      </c>
      <c r="F144">
        <v>0.35</v>
      </c>
      <c r="G144">
        <v>0</v>
      </c>
      <c r="H144" t="s">
        <v>678</v>
      </c>
    </row>
    <row r="145" spans="1:8" ht="17.25">
      <c r="A145" t="s">
        <v>442</v>
      </c>
      <c r="B145">
        <v>0.4</v>
      </c>
      <c r="C145">
        <v>0</v>
      </c>
      <c r="D145" t="s">
        <v>679</v>
      </c>
      <c r="E145" t="s">
        <v>561</v>
      </c>
      <c r="F145">
        <v>0.35</v>
      </c>
      <c r="G145">
        <v>0</v>
      </c>
      <c r="H145" t="s">
        <v>678</v>
      </c>
    </row>
    <row r="146" spans="1:8" ht="17.25">
      <c r="A146" t="s">
        <v>528</v>
      </c>
      <c r="B146">
        <v>0.35</v>
      </c>
      <c r="C146">
        <v>0.023</v>
      </c>
      <c r="D146" t="s">
        <v>678</v>
      </c>
      <c r="E146" t="s">
        <v>543</v>
      </c>
      <c r="F146">
        <v>0.35</v>
      </c>
      <c r="G146">
        <v>0</v>
      </c>
      <c r="H146" t="s">
        <v>678</v>
      </c>
    </row>
    <row r="147" spans="1:8" ht="17.25">
      <c r="A147" t="s">
        <v>530</v>
      </c>
      <c r="B147">
        <v>0.35</v>
      </c>
      <c r="C147">
        <v>0.023</v>
      </c>
      <c r="D147" t="s">
        <v>678</v>
      </c>
      <c r="E147" t="s">
        <v>545</v>
      </c>
      <c r="F147">
        <v>0.35</v>
      </c>
      <c r="G147">
        <v>0</v>
      </c>
      <c r="H147" t="s">
        <v>678</v>
      </c>
    </row>
    <row r="148" spans="1:8" ht="17.25">
      <c r="A148" t="s">
        <v>532</v>
      </c>
      <c r="B148">
        <v>0.26</v>
      </c>
      <c r="C148">
        <v>0.017</v>
      </c>
      <c r="D148" t="s">
        <v>678</v>
      </c>
      <c r="E148" t="s">
        <v>565</v>
      </c>
      <c r="F148">
        <v>0.25</v>
      </c>
      <c r="G148">
        <v>0</v>
      </c>
      <c r="H148" t="s">
        <v>678</v>
      </c>
    </row>
    <row r="149" spans="1:8" ht="17.25">
      <c r="A149" t="s">
        <v>534</v>
      </c>
      <c r="B149">
        <v>0.26</v>
      </c>
      <c r="C149">
        <v>0.017</v>
      </c>
      <c r="D149" t="s">
        <v>678</v>
      </c>
      <c r="E149" t="s">
        <v>535</v>
      </c>
      <c r="F149">
        <v>0.2</v>
      </c>
      <c r="G149">
        <v>0</v>
      </c>
      <c r="H149" t="s">
        <v>678</v>
      </c>
    </row>
    <row r="150" spans="1:8" ht="17.25">
      <c r="A150" t="s">
        <v>519</v>
      </c>
      <c r="B150">
        <v>0.75</v>
      </c>
      <c r="C150">
        <v>0.065</v>
      </c>
      <c r="D150" t="s">
        <v>679</v>
      </c>
      <c r="E150" t="s">
        <v>537</v>
      </c>
      <c r="F150">
        <v>0.2</v>
      </c>
      <c r="G150">
        <v>0</v>
      </c>
      <c r="H150" t="s">
        <v>678</v>
      </c>
    </row>
    <row r="151" spans="1:8" ht="17.25">
      <c r="A151" t="s">
        <v>526</v>
      </c>
      <c r="B151">
        <v>0.46</v>
      </c>
      <c r="C151">
        <v>0.065</v>
      </c>
      <c r="D151" t="s">
        <v>679</v>
      </c>
      <c r="E151" t="s">
        <v>539</v>
      </c>
      <c r="F151">
        <v>0.065</v>
      </c>
      <c r="G151">
        <v>0</v>
      </c>
      <c r="H151" t="s">
        <v>678</v>
      </c>
    </row>
    <row r="152" spans="1:8" ht="17.25">
      <c r="A152" t="s">
        <v>527</v>
      </c>
      <c r="B152">
        <v>0.35</v>
      </c>
      <c r="C152">
        <v>0.023</v>
      </c>
      <c r="D152" t="s">
        <v>678</v>
      </c>
      <c r="E152" t="s">
        <v>563</v>
      </c>
      <c r="F152">
        <v>0.0325</v>
      </c>
      <c r="G152">
        <v>0</v>
      </c>
      <c r="H152" t="s">
        <v>678</v>
      </c>
    </row>
    <row r="153" spans="1:8" ht="17.25">
      <c r="A153" t="s">
        <v>529</v>
      </c>
      <c r="B153">
        <v>0.35</v>
      </c>
      <c r="C153">
        <v>0.023</v>
      </c>
      <c r="D153" t="s">
        <v>678</v>
      </c>
      <c r="E153" t="s">
        <v>549</v>
      </c>
      <c r="F153">
        <v>0.065</v>
      </c>
      <c r="G153">
        <v>0</v>
      </c>
      <c r="H153" t="s">
        <v>678</v>
      </c>
    </row>
    <row r="154" spans="1:8" ht="17.25">
      <c r="A154" t="s">
        <v>531</v>
      </c>
      <c r="B154">
        <v>0.26</v>
      </c>
      <c r="C154">
        <v>0.017</v>
      </c>
      <c r="D154" t="s">
        <v>678</v>
      </c>
      <c r="E154" t="s">
        <v>559</v>
      </c>
      <c r="F154">
        <v>0.098</v>
      </c>
      <c r="G154">
        <v>0</v>
      </c>
      <c r="H154" t="s">
        <v>678</v>
      </c>
    </row>
    <row r="155" spans="1:8" ht="17.25">
      <c r="A155" t="s">
        <v>533</v>
      </c>
      <c r="B155">
        <v>0.26</v>
      </c>
      <c r="C155">
        <v>0.017</v>
      </c>
      <c r="D155" t="s">
        <v>678</v>
      </c>
      <c r="E155" t="s">
        <v>547</v>
      </c>
      <c r="F155">
        <v>0.245</v>
      </c>
      <c r="G155">
        <v>0</v>
      </c>
      <c r="H155" t="s">
        <v>678</v>
      </c>
    </row>
    <row r="156" spans="1:8" ht="17.25">
      <c r="A156" t="s">
        <v>521</v>
      </c>
      <c r="B156">
        <v>0.65</v>
      </c>
      <c r="C156">
        <v>0.065</v>
      </c>
      <c r="D156" t="s">
        <v>679</v>
      </c>
      <c r="E156" t="s">
        <v>583</v>
      </c>
      <c r="F156" t="s">
        <v>350</v>
      </c>
      <c r="G156">
        <v>0</v>
      </c>
      <c r="H156" t="s">
        <v>678</v>
      </c>
    </row>
    <row r="157" spans="1:8" ht="17.25">
      <c r="A157" t="s">
        <v>523</v>
      </c>
      <c r="B157">
        <v>0.65</v>
      </c>
      <c r="C157">
        <v>0.065</v>
      </c>
      <c r="D157" t="s">
        <v>679</v>
      </c>
      <c r="E157" t="s">
        <v>590</v>
      </c>
      <c r="F157" t="s">
        <v>350</v>
      </c>
      <c r="G157">
        <v>0</v>
      </c>
      <c r="H157" t="s">
        <v>678</v>
      </c>
    </row>
    <row r="158" spans="1:8" ht="17.25">
      <c r="A158" t="s">
        <v>524</v>
      </c>
      <c r="B158">
        <v>0.56</v>
      </c>
      <c r="C158">
        <v>0.065</v>
      </c>
      <c r="D158" t="s">
        <v>679</v>
      </c>
      <c r="E158" t="s">
        <v>595</v>
      </c>
      <c r="F158" t="s">
        <v>350</v>
      </c>
      <c r="G158">
        <v>0</v>
      </c>
      <c r="H158" t="s">
        <v>678</v>
      </c>
    </row>
    <row r="159" spans="1:8" ht="17.25">
      <c r="A159" t="s">
        <v>525</v>
      </c>
      <c r="B159">
        <v>0.56</v>
      </c>
      <c r="C159">
        <v>0.065</v>
      </c>
      <c r="D159" t="s">
        <v>679</v>
      </c>
      <c r="E159" t="s">
        <v>594</v>
      </c>
      <c r="F159">
        <v>0.245</v>
      </c>
      <c r="G159">
        <v>0</v>
      </c>
      <c r="H159" t="s">
        <v>678</v>
      </c>
    </row>
    <row r="160" spans="1:8" ht="17.25">
      <c r="A160" t="s">
        <v>599</v>
      </c>
      <c r="B160" t="s">
        <v>350</v>
      </c>
      <c r="C160">
        <v>0</v>
      </c>
      <c r="D160" t="s">
        <v>678</v>
      </c>
      <c r="E160" t="s">
        <v>598</v>
      </c>
      <c r="F160" t="s">
        <v>350</v>
      </c>
      <c r="G160">
        <v>0</v>
      </c>
      <c r="H160" t="s">
        <v>678</v>
      </c>
    </row>
    <row r="161" spans="1:8" ht="17.25">
      <c r="A161" t="s">
        <v>600</v>
      </c>
      <c r="B161" t="s">
        <v>350</v>
      </c>
      <c r="C161">
        <v>0</v>
      </c>
      <c r="D161" t="s">
        <v>678</v>
      </c>
      <c r="E161" t="s">
        <v>580</v>
      </c>
      <c r="F161">
        <v>0.165</v>
      </c>
      <c r="G161">
        <v>0</v>
      </c>
      <c r="H161" t="s">
        <v>678</v>
      </c>
    </row>
    <row r="162" spans="1:8" ht="17.25">
      <c r="A162" t="s">
        <v>601</v>
      </c>
      <c r="B162" t="s">
        <v>350</v>
      </c>
      <c r="C162">
        <v>0</v>
      </c>
      <c r="D162" t="s">
        <v>678</v>
      </c>
      <c r="E162" t="s">
        <v>581</v>
      </c>
      <c r="F162">
        <v>0.165</v>
      </c>
      <c r="G162">
        <v>0</v>
      </c>
      <c r="H162" t="s">
        <v>678</v>
      </c>
    </row>
    <row r="163" spans="1:8" ht="17.25">
      <c r="A163" t="s">
        <v>602</v>
      </c>
      <c r="B163">
        <v>0.12</v>
      </c>
      <c r="C163">
        <v>0</v>
      </c>
      <c r="D163" t="s">
        <v>678</v>
      </c>
      <c r="E163" t="s">
        <v>582</v>
      </c>
      <c r="F163">
        <v>0.05</v>
      </c>
      <c r="G163">
        <v>0</v>
      </c>
      <c r="H163" t="s">
        <v>678</v>
      </c>
    </row>
    <row r="164" spans="1:8" ht="17.25">
      <c r="A164" t="s">
        <v>603</v>
      </c>
      <c r="B164">
        <v>0.12</v>
      </c>
      <c r="C164">
        <v>0</v>
      </c>
      <c r="D164" t="s">
        <v>678</v>
      </c>
      <c r="E164" t="s">
        <v>584</v>
      </c>
      <c r="F164">
        <v>0.38</v>
      </c>
      <c r="G164">
        <v>0</v>
      </c>
      <c r="H164" t="s">
        <v>678</v>
      </c>
    </row>
    <row r="165" spans="1:8" ht="17.25">
      <c r="A165" t="s">
        <v>604</v>
      </c>
      <c r="B165">
        <v>0.04</v>
      </c>
      <c r="C165">
        <v>0</v>
      </c>
      <c r="D165" t="s">
        <v>678</v>
      </c>
      <c r="E165" t="s">
        <v>591</v>
      </c>
      <c r="F165">
        <v>0.33</v>
      </c>
      <c r="G165">
        <v>0</v>
      </c>
      <c r="H165" t="s">
        <v>678</v>
      </c>
    </row>
    <row r="166" spans="1:8" ht="17.25">
      <c r="A166" t="s">
        <v>605</v>
      </c>
      <c r="B166">
        <v>0.04</v>
      </c>
      <c r="C166">
        <v>0</v>
      </c>
      <c r="D166" t="s">
        <v>678</v>
      </c>
      <c r="E166" t="s">
        <v>593</v>
      </c>
      <c r="F166">
        <v>0.33</v>
      </c>
      <c r="G166">
        <v>0</v>
      </c>
      <c r="H166" t="s">
        <v>678</v>
      </c>
    </row>
    <row r="167" spans="1:8" ht="17.25">
      <c r="A167" t="s">
        <v>606</v>
      </c>
      <c r="B167">
        <v>0.04</v>
      </c>
      <c r="C167">
        <v>0</v>
      </c>
      <c r="D167" t="s">
        <v>678</v>
      </c>
      <c r="E167" t="s">
        <v>596</v>
      </c>
      <c r="F167">
        <v>0.28</v>
      </c>
      <c r="G167">
        <v>0</v>
      </c>
      <c r="H167" t="s">
        <v>678</v>
      </c>
    </row>
    <row r="168" spans="1:8" ht="17.25">
      <c r="A168" t="s">
        <v>607</v>
      </c>
      <c r="B168">
        <v>0.12</v>
      </c>
      <c r="C168">
        <v>0</v>
      </c>
      <c r="D168" t="s">
        <v>678</v>
      </c>
      <c r="E168" t="s">
        <v>597</v>
      </c>
      <c r="F168">
        <v>0.28</v>
      </c>
      <c r="G168">
        <v>0</v>
      </c>
      <c r="H168" t="s">
        <v>678</v>
      </c>
    </row>
    <row r="169" spans="1:8" ht="17.25">
      <c r="A169" t="s">
        <v>608</v>
      </c>
      <c r="B169">
        <v>0.06</v>
      </c>
      <c r="C169">
        <v>0</v>
      </c>
      <c r="D169" t="s">
        <v>678</v>
      </c>
      <c r="E169" t="s">
        <v>585</v>
      </c>
      <c r="F169">
        <v>0.23</v>
      </c>
      <c r="G169">
        <v>0</v>
      </c>
      <c r="H169" t="s">
        <v>678</v>
      </c>
    </row>
    <row r="170" spans="1:8" ht="17.25">
      <c r="A170" t="s">
        <v>609</v>
      </c>
      <c r="B170">
        <v>0.06</v>
      </c>
      <c r="C170">
        <v>0</v>
      </c>
      <c r="D170" t="s">
        <v>678</v>
      </c>
      <c r="E170" t="s">
        <v>586</v>
      </c>
      <c r="F170">
        <v>0.18</v>
      </c>
      <c r="G170">
        <v>0</v>
      </c>
      <c r="H170" t="s">
        <v>678</v>
      </c>
    </row>
    <row r="171" spans="1:8" ht="17.25">
      <c r="A171" t="s">
        <v>610</v>
      </c>
      <c r="B171">
        <v>0.02</v>
      </c>
      <c r="C171">
        <v>0</v>
      </c>
      <c r="D171" t="s">
        <v>678</v>
      </c>
      <c r="E171" t="s">
        <v>587</v>
      </c>
      <c r="F171">
        <v>0.18</v>
      </c>
      <c r="G171">
        <v>0</v>
      </c>
      <c r="H171" t="s">
        <v>678</v>
      </c>
    </row>
    <row r="172" spans="1:8" ht="17.25">
      <c r="A172" t="s">
        <v>611</v>
      </c>
      <c r="B172">
        <v>0.02</v>
      </c>
      <c r="C172">
        <v>0</v>
      </c>
      <c r="D172" t="s">
        <v>678</v>
      </c>
      <c r="E172" t="s">
        <v>588</v>
      </c>
      <c r="F172">
        <v>0.13</v>
      </c>
      <c r="G172">
        <v>0</v>
      </c>
      <c r="H172" t="s">
        <v>678</v>
      </c>
    </row>
    <row r="173" spans="1:8" ht="17.25">
      <c r="A173" t="s">
        <v>536</v>
      </c>
      <c r="B173">
        <v>1.2</v>
      </c>
      <c r="C173">
        <v>0</v>
      </c>
      <c r="D173" t="s">
        <v>678</v>
      </c>
      <c r="E173" t="s">
        <v>589</v>
      </c>
      <c r="F173">
        <v>0.13</v>
      </c>
      <c r="G173">
        <v>0</v>
      </c>
      <c r="H173" t="s">
        <v>678</v>
      </c>
    </row>
    <row r="174" spans="1:8" ht="17.25">
      <c r="A174" t="s">
        <v>538</v>
      </c>
      <c r="B174">
        <v>0.6</v>
      </c>
      <c r="C174">
        <v>0</v>
      </c>
      <c r="D174" t="s">
        <v>678</v>
      </c>
      <c r="E174" t="s">
        <v>599</v>
      </c>
      <c r="F174" t="s">
        <v>350</v>
      </c>
      <c r="G174">
        <v>0</v>
      </c>
      <c r="H174" t="s">
        <v>678</v>
      </c>
    </row>
    <row r="175" spans="1:8" ht="17.25">
      <c r="A175" t="s">
        <v>540</v>
      </c>
      <c r="B175">
        <v>0.6</v>
      </c>
      <c r="C175">
        <v>0</v>
      </c>
      <c r="D175" t="s">
        <v>678</v>
      </c>
      <c r="E175" t="s">
        <v>600</v>
      </c>
      <c r="F175" t="s">
        <v>350</v>
      </c>
      <c r="G175">
        <v>0</v>
      </c>
      <c r="H175" t="s">
        <v>678</v>
      </c>
    </row>
    <row r="176" spans="1:8" ht="17.25">
      <c r="A176" t="s">
        <v>542</v>
      </c>
      <c r="B176">
        <v>0.25</v>
      </c>
      <c r="C176">
        <v>0</v>
      </c>
      <c r="D176" t="s">
        <v>678</v>
      </c>
      <c r="E176" t="s">
        <v>601</v>
      </c>
      <c r="F176" t="s">
        <v>350</v>
      </c>
      <c r="G176">
        <v>0</v>
      </c>
      <c r="H176" t="s">
        <v>678</v>
      </c>
    </row>
    <row r="177" spans="1:8" ht="17.25">
      <c r="A177" t="s">
        <v>544</v>
      </c>
      <c r="B177">
        <v>0.25</v>
      </c>
      <c r="C177">
        <v>0</v>
      </c>
      <c r="D177" t="s">
        <v>678</v>
      </c>
      <c r="E177" t="s">
        <v>602</v>
      </c>
      <c r="F177">
        <v>0.12</v>
      </c>
      <c r="G177">
        <v>0</v>
      </c>
      <c r="H177" t="s">
        <v>678</v>
      </c>
    </row>
    <row r="178" spans="1:8" ht="17.25">
      <c r="A178" t="s">
        <v>548</v>
      </c>
      <c r="B178">
        <v>0.08</v>
      </c>
      <c r="C178">
        <v>0</v>
      </c>
      <c r="D178" t="s">
        <v>678</v>
      </c>
      <c r="E178" t="s">
        <v>603</v>
      </c>
      <c r="F178">
        <v>0.12</v>
      </c>
      <c r="G178">
        <v>0</v>
      </c>
      <c r="H178" t="s">
        <v>678</v>
      </c>
    </row>
    <row r="179" spans="1:8" ht="17.25">
      <c r="A179" t="s">
        <v>546</v>
      </c>
      <c r="B179">
        <v>0.25</v>
      </c>
      <c r="C179">
        <v>0</v>
      </c>
      <c r="D179" t="s">
        <v>678</v>
      </c>
      <c r="E179" t="s">
        <v>604</v>
      </c>
      <c r="F179">
        <v>0.04</v>
      </c>
      <c r="G179">
        <v>0</v>
      </c>
      <c r="H179" t="s">
        <v>678</v>
      </c>
    </row>
    <row r="180" spans="1:8" ht="17.25">
      <c r="A180" t="s">
        <v>550</v>
      </c>
      <c r="B180">
        <v>0.08</v>
      </c>
      <c r="C180">
        <v>0</v>
      </c>
      <c r="D180" t="s">
        <v>678</v>
      </c>
      <c r="E180" t="s">
        <v>608</v>
      </c>
      <c r="F180">
        <v>0.06</v>
      </c>
      <c r="G180">
        <v>0</v>
      </c>
      <c r="H180" t="s">
        <v>678</v>
      </c>
    </row>
    <row r="181" spans="1:8" ht="17.25">
      <c r="A181" t="s">
        <v>556</v>
      </c>
      <c r="B181">
        <v>0.04</v>
      </c>
      <c r="C181">
        <v>0</v>
      </c>
      <c r="D181" t="s">
        <v>678</v>
      </c>
      <c r="E181" t="s">
        <v>609</v>
      </c>
      <c r="F181">
        <v>0.06</v>
      </c>
      <c r="G181">
        <v>0</v>
      </c>
      <c r="H181" t="s">
        <v>678</v>
      </c>
    </row>
    <row r="182" spans="1:8" ht="17.25">
      <c r="A182" t="s">
        <v>552</v>
      </c>
      <c r="B182">
        <v>0.06</v>
      </c>
      <c r="C182">
        <v>0</v>
      </c>
      <c r="D182" t="s">
        <v>678</v>
      </c>
      <c r="E182" t="s">
        <v>605</v>
      </c>
      <c r="F182">
        <v>0.04</v>
      </c>
      <c r="G182">
        <v>0</v>
      </c>
      <c r="H182" t="s">
        <v>678</v>
      </c>
    </row>
    <row r="183" spans="1:8" ht="17.25">
      <c r="A183" t="s">
        <v>560</v>
      </c>
      <c r="B183">
        <v>0.02</v>
      </c>
      <c r="C183">
        <v>0</v>
      </c>
      <c r="D183" t="s">
        <v>678</v>
      </c>
      <c r="E183" t="s">
        <v>606</v>
      </c>
      <c r="F183">
        <v>0.04</v>
      </c>
      <c r="G183">
        <v>0</v>
      </c>
      <c r="H183" t="s">
        <v>678</v>
      </c>
    </row>
    <row r="184" spans="1:8" ht="17.25">
      <c r="A184" t="s">
        <v>554</v>
      </c>
      <c r="B184">
        <v>0.06</v>
      </c>
      <c r="C184">
        <v>0</v>
      </c>
      <c r="D184" t="s">
        <v>678</v>
      </c>
      <c r="E184" t="s">
        <v>610</v>
      </c>
      <c r="F184">
        <v>0.02</v>
      </c>
      <c r="G184">
        <v>0</v>
      </c>
      <c r="H184" t="s">
        <v>678</v>
      </c>
    </row>
    <row r="185" spans="1:8" ht="17.25">
      <c r="A185" t="s">
        <v>558</v>
      </c>
      <c r="B185">
        <v>0.04</v>
      </c>
      <c r="C185">
        <v>0</v>
      </c>
      <c r="D185" t="s">
        <v>678</v>
      </c>
      <c r="E185" t="s">
        <v>611</v>
      </c>
      <c r="F185">
        <v>0.02</v>
      </c>
      <c r="G185">
        <v>0</v>
      </c>
      <c r="H185" t="s">
        <v>678</v>
      </c>
    </row>
    <row r="186" spans="1:8" ht="17.25">
      <c r="A186" t="s">
        <v>562</v>
      </c>
      <c r="B186">
        <v>0.02</v>
      </c>
      <c r="C186">
        <v>0</v>
      </c>
      <c r="D186" t="s">
        <v>678</v>
      </c>
      <c r="E186" t="s">
        <v>419</v>
      </c>
      <c r="F186">
        <v>0.06</v>
      </c>
      <c r="G186">
        <v>0</v>
      </c>
      <c r="H186" t="s">
        <v>678</v>
      </c>
    </row>
    <row r="187" spans="1:8" ht="17.25">
      <c r="A187" t="s">
        <v>573</v>
      </c>
      <c r="B187">
        <v>0.4</v>
      </c>
      <c r="C187">
        <v>0.08</v>
      </c>
      <c r="D187" t="s">
        <v>679</v>
      </c>
      <c r="E187" t="s">
        <v>427</v>
      </c>
      <c r="F187">
        <v>0.06</v>
      </c>
      <c r="G187">
        <v>0</v>
      </c>
      <c r="H187" t="s">
        <v>678</v>
      </c>
    </row>
    <row r="188" spans="1:8" ht="17.25">
      <c r="A188" t="s">
        <v>575</v>
      </c>
      <c r="B188">
        <v>0.4</v>
      </c>
      <c r="C188">
        <v>0.08</v>
      </c>
      <c r="D188" t="s">
        <v>679</v>
      </c>
      <c r="E188" t="s">
        <v>414</v>
      </c>
      <c r="F188">
        <v>0.04</v>
      </c>
      <c r="G188">
        <v>0</v>
      </c>
      <c r="H188" t="s">
        <v>678</v>
      </c>
    </row>
    <row r="189" spans="1:8" ht="17.25">
      <c r="A189" t="s">
        <v>577</v>
      </c>
      <c r="B189">
        <v>0.28</v>
      </c>
      <c r="C189">
        <v>0.052</v>
      </c>
      <c r="D189" t="s">
        <v>679</v>
      </c>
      <c r="E189" t="s">
        <v>431</v>
      </c>
      <c r="F189">
        <v>0.04</v>
      </c>
      <c r="G189">
        <v>0</v>
      </c>
      <c r="H189" t="s">
        <v>678</v>
      </c>
    </row>
    <row r="190" spans="1:8" ht="17.25">
      <c r="A190" t="s">
        <v>579</v>
      </c>
      <c r="B190">
        <v>0.28</v>
      </c>
      <c r="C190">
        <v>0.052</v>
      </c>
      <c r="D190" t="s">
        <v>679</v>
      </c>
      <c r="E190" t="s">
        <v>423</v>
      </c>
      <c r="F190">
        <v>0.02</v>
      </c>
      <c r="G190">
        <v>0</v>
      </c>
      <c r="H190" t="s">
        <v>678</v>
      </c>
    </row>
    <row r="191" spans="1:8" ht="17.25">
      <c r="A191" t="s">
        <v>564</v>
      </c>
      <c r="B191">
        <v>1.2</v>
      </c>
      <c r="C191">
        <v>0.2</v>
      </c>
      <c r="D191" t="s">
        <v>679</v>
      </c>
      <c r="E191" t="s">
        <v>435</v>
      </c>
      <c r="F191">
        <v>0.02</v>
      </c>
      <c r="G191">
        <v>0</v>
      </c>
      <c r="H191" t="s">
        <v>678</v>
      </c>
    </row>
    <row r="192" spans="1:8" ht="17.25">
      <c r="A192" t="s">
        <v>571</v>
      </c>
      <c r="B192">
        <v>0.5</v>
      </c>
      <c r="C192">
        <v>0.2</v>
      </c>
      <c r="D192" t="s">
        <v>679</v>
      </c>
      <c r="E192" t="s">
        <v>514</v>
      </c>
      <c r="F192">
        <v>0.1</v>
      </c>
      <c r="G192">
        <v>0</v>
      </c>
      <c r="H192" t="s">
        <v>678</v>
      </c>
    </row>
    <row r="193" spans="1:8" ht="17.25">
      <c r="A193" t="s">
        <v>572</v>
      </c>
      <c r="B193">
        <v>0.4</v>
      </c>
      <c r="C193">
        <v>0.08</v>
      </c>
      <c r="D193" t="s">
        <v>679</v>
      </c>
      <c r="E193" t="s">
        <v>518</v>
      </c>
      <c r="F193">
        <v>0.1</v>
      </c>
      <c r="G193">
        <v>0</v>
      </c>
      <c r="H193" t="s">
        <v>678</v>
      </c>
    </row>
    <row r="194" spans="1:8" ht="17.25">
      <c r="A194" t="s">
        <v>574</v>
      </c>
      <c r="B194">
        <v>0.4</v>
      </c>
      <c r="C194">
        <v>0.08</v>
      </c>
      <c r="D194" t="s">
        <v>679</v>
      </c>
      <c r="E194" t="s">
        <v>511</v>
      </c>
      <c r="F194">
        <v>0.07</v>
      </c>
      <c r="G194">
        <v>0</v>
      </c>
      <c r="H194" t="s">
        <v>678</v>
      </c>
    </row>
    <row r="195" spans="1:8" ht="17.25">
      <c r="A195" t="s">
        <v>576</v>
      </c>
      <c r="B195">
        <v>0.28</v>
      </c>
      <c r="C195">
        <v>0.052</v>
      </c>
      <c r="D195" t="s">
        <v>679</v>
      </c>
      <c r="E195" t="s">
        <v>520</v>
      </c>
      <c r="F195">
        <v>0.07</v>
      </c>
      <c r="G195">
        <v>0</v>
      </c>
      <c r="H195" t="s">
        <v>678</v>
      </c>
    </row>
    <row r="196" spans="1:8" ht="17.25">
      <c r="A196" t="s">
        <v>578</v>
      </c>
      <c r="B196">
        <v>0.28</v>
      </c>
      <c r="C196">
        <v>0.052</v>
      </c>
      <c r="D196" t="s">
        <v>679</v>
      </c>
      <c r="E196" t="s">
        <v>516</v>
      </c>
      <c r="F196">
        <v>0.03</v>
      </c>
      <c r="G196">
        <v>0</v>
      </c>
      <c r="H196" t="s">
        <v>678</v>
      </c>
    </row>
    <row r="197" spans="1:8" ht="17.25">
      <c r="A197" t="s">
        <v>566</v>
      </c>
      <c r="B197">
        <v>1.02</v>
      </c>
      <c r="C197">
        <v>0.2</v>
      </c>
      <c r="D197" t="s">
        <v>679</v>
      </c>
      <c r="E197" t="s">
        <v>522</v>
      </c>
      <c r="F197">
        <v>0.03</v>
      </c>
      <c r="G197">
        <v>0</v>
      </c>
      <c r="H197" t="s">
        <v>678</v>
      </c>
    </row>
    <row r="198" spans="1:8" ht="17.25">
      <c r="A198" t="s">
        <v>567</v>
      </c>
      <c r="B198">
        <v>1.02</v>
      </c>
      <c r="C198">
        <v>0.2</v>
      </c>
      <c r="D198" t="s">
        <v>679</v>
      </c>
      <c r="E198" t="s">
        <v>607</v>
      </c>
      <c r="F198">
        <v>0.12</v>
      </c>
      <c r="G198">
        <v>0</v>
      </c>
      <c r="H198" t="s">
        <v>678</v>
      </c>
    </row>
    <row r="199" spans="1:8" ht="17.25">
      <c r="A199" t="s">
        <v>568</v>
      </c>
      <c r="B199">
        <v>0.7</v>
      </c>
      <c r="C199">
        <v>0.2</v>
      </c>
      <c r="D199" t="s">
        <v>679</v>
      </c>
      <c r="E199" t="s">
        <v>383</v>
      </c>
      <c r="F199">
        <v>0.18</v>
      </c>
      <c r="G199">
        <v>0</v>
      </c>
      <c r="H199" t="s">
        <v>678</v>
      </c>
    </row>
    <row r="200" spans="1:8" ht="17.25">
      <c r="A200" t="s">
        <v>569</v>
      </c>
      <c r="B200">
        <v>0.5</v>
      </c>
      <c r="C200">
        <v>0.2</v>
      </c>
      <c r="D200" t="s">
        <v>679</v>
      </c>
      <c r="E200" t="s">
        <v>493</v>
      </c>
      <c r="F200">
        <v>0.3</v>
      </c>
      <c r="G200">
        <v>0</v>
      </c>
      <c r="H200" t="s">
        <v>678</v>
      </c>
    </row>
    <row r="201" spans="1:8" ht="17.25">
      <c r="A201" t="s">
        <v>570</v>
      </c>
      <c r="B201">
        <v>0.5</v>
      </c>
      <c r="C201">
        <v>0.2</v>
      </c>
      <c r="D201" t="s">
        <v>679</v>
      </c>
      <c r="E201" t="s">
        <v>553</v>
      </c>
      <c r="F201">
        <v>0.32</v>
      </c>
      <c r="G201">
        <v>0</v>
      </c>
      <c r="H201" t="s">
        <v>678</v>
      </c>
    </row>
    <row r="202" spans="1:8" ht="17.25">
      <c r="A202" t="s">
        <v>231</v>
      </c>
      <c r="B202">
        <v>0</v>
      </c>
      <c r="C202">
        <v>0</v>
      </c>
      <c r="D202" t="s">
        <v>678</v>
      </c>
      <c r="E202" t="s">
        <v>592</v>
      </c>
      <c r="F202">
        <v>0.26</v>
      </c>
      <c r="G202">
        <v>0</v>
      </c>
      <c r="H202" t="s">
        <v>678</v>
      </c>
    </row>
  </sheetData>
  <sheetProtection/>
  <mergeCells count="2">
    <mergeCell ref="I3:J3"/>
    <mergeCell ref="P3:Q3"/>
  </mergeCells>
  <printOptions/>
  <pageMargins left="0.984251968503937" right="0.7874015748031497" top="0.984251968503937" bottom="0.984251968503937" header="0.5118110236220472" footer="0.5118110236220472"/>
  <pageSetup horizontalDpi="600" verticalDpi="600" orientation="portrait" paperSize="9" scale="90" r:id="rId2"/>
  <rowBreaks count="1" manualBreakCount="1">
    <brk id="49" min="8" max="21" man="1"/>
  </rowBreaks>
  <colBreaks count="1" manualBreakCount="1">
    <brk id="15" min="1" max="48" man="1"/>
  </colBreaks>
  <drawing r:id="rId1"/>
</worksheet>
</file>

<file path=xl/worksheets/sheet11.xml><?xml version="1.0" encoding="utf-8"?>
<worksheet xmlns="http://schemas.openxmlformats.org/spreadsheetml/2006/main" xmlns:r="http://schemas.openxmlformats.org/officeDocument/2006/relationships">
  <dimension ref="A1:D68"/>
  <sheetViews>
    <sheetView workbookViewId="0" topLeftCell="E1">
      <selection activeCell="J29" sqref="J29"/>
    </sheetView>
  </sheetViews>
  <sheetFormatPr defaultColWidth="9.00390625" defaultRowHeight="13.5"/>
  <cols>
    <col min="1" max="1" width="18.00390625" style="0" hidden="1" customWidth="1"/>
    <col min="2" max="2" width="0" style="0" hidden="1" customWidth="1"/>
    <col min="3" max="3" width="16.75390625" style="0" hidden="1" customWidth="1"/>
    <col min="4" max="4" width="0" style="0" hidden="1" customWidth="1"/>
  </cols>
  <sheetData>
    <row r="1" spans="1:4" ht="13.5">
      <c r="A1" s="4" t="s">
        <v>199</v>
      </c>
      <c r="B1" s="4" t="s">
        <v>200</v>
      </c>
      <c r="C1" s="4" t="s">
        <v>127</v>
      </c>
      <c r="D1" s="4" t="s">
        <v>119</v>
      </c>
    </row>
    <row r="2" spans="1:4" s="1" customFormat="1" ht="12">
      <c r="A2" s="5" t="s">
        <v>93</v>
      </c>
      <c r="B2" s="5">
        <v>102</v>
      </c>
      <c r="C2" s="5" t="s">
        <v>60</v>
      </c>
      <c r="D2" s="5">
        <v>211</v>
      </c>
    </row>
    <row r="3" spans="1:4" s="1" customFormat="1" ht="12">
      <c r="A3" s="5" t="s">
        <v>94</v>
      </c>
      <c r="B3" s="5">
        <v>103</v>
      </c>
      <c r="C3" s="5" t="s">
        <v>71</v>
      </c>
      <c r="D3" s="5">
        <v>222</v>
      </c>
    </row>
    <row r="4" spans="1:4" s="1" customFormat="1" ht="12">
      <c r="A4" s="5" t="s">
        <v>95</v>
      </c>
      <c r="B4" s="5">
        <v>104</v>
      </c>
      <c r="C4" s="5" t="s">
        <v>65</v>
      </c>
      <c r="D4" s="5">
        <v>216</v>
      </c>
    </row>
    <row r="5" spans="1:4" s="1" customFormat="1" ht="12">
      <c r="A5" s="5" t="s">
        <v>96</v>
      </c>
      <c r="B5" s="5">
        <v>106</v>
      </c>
      <c r="C5" s="5" t="s">
        <v>90</v>
      </c>
      <c r="D5" s="5">
        <v>382</v>
      </c>
    </row>
    <row r="6" spans="1:4" s="1" customFormat="1" ht="12">
      <c r="A6" s="5" t="s">
        <v>97</v>
      </c>
      <c r="B6" s="5">
        <v>107</v>
      </c>
      <c r="C6" s="5" t="s">
        <v>57</v>
      </c>
      <c r="D6" s="5">
        <v>208</v>
      </c>
    </row>
    <row r="7" spans="1:4" s="1" customFormat="1" ht="12">
      <c r="A7" s="5" t="s">
        <v>98</v>
      </c>
      <c r="B7" s="5">
        <v>108</v>
      </c>
      <c r="C7" s="5" t="s">
        <v>51</v>
      </c>
      <c r="D7" s="5">
        <v>202</v>
      </c>
    </row>
    <row r="8" spans="1:4" s="1" customFormat="1" ht="12">
      <c r="A8" s="5" t="s">
        <v>99</v>
      </c>
      <c r="B8" s="5">
        <v>109</v>
      </c>
      <c r="C8" s="5" t="s">
        <v>86</v>
      </c>
      <c r="D8" s="5">
        <v>361</v>
      </c>
    </row>
    <row r="9" spans="1:4" s="1" customFormat="1" ht="12">
      <c r="A9" s="5" t="s">
        <v>100</v>
      </c>
      <c r="B9" s="5">
        <v>111</v>
      </c>
      <c r="C9" s="5" t="s">
        <v>79</v>
      </c>
      <c r="D9" s="5">
        <v>230</v>
      </c>
    </row>
    <row r="10" spans="1:4" s="1" customFormat="1" ht="12">
      <c r="A10" s="5" t="s">
        <v>101</v>
      </c>
      <c r="B10" s="5">
        <v>113</v>
      </c>
      <c r="C10" s="5" t="s">
        <v>74</v>
      </c>
      <c r="D10" s="5">
        <v>225</v>
      </c>
    </row>
    <row r="11" spans="1:4" s="1" customFormat="1" ht="12">
      <c r="A11" s="5" t="s">
        <v>102</v>
      </c>
      <c r="B11" s="5">
        <v>114</v>
      </c>
      <c r="C11" s="5" t="s">
        <v>56</v>
      </c>
      <c r="D11" s="5">
        <v>207</v>
      </c>
    </row>
    <row r="12" spans="1:4" s="1" customFormat="1" ht="12">
      <c r="A12" s="5" t="s">
        <v>103</v>
      </c>
      <c r="B12" s="5">
        <v>115</v>
      </c>
      <c r="C12" s="5" t="s">
        <v>81</v>
      </c>
      <c r="D12" s="5">
        <v>232</v>
      </c>
    </row>
    <row r="13" spans="1:4" s="1" customFormat="1" ht="12">
      <c r="A13" s="5" t="s">
        <v>104</v>
      </c>
      <c r="B13" s="5">
        <v>116</v>
      </c>
      <c r="C13" s="5" t="s">
        <v>50</v>
      </c>
      <c r="D13" s="5">
        <v>201</v>
      </c>
    </row>
    <row r="14" spans="1:4" s="1" customFormat="1" ht="12">
      <c r="A14" s="5" t="s">
        <v>105</v>
      </c>
      <c r="B14" s="5">
        <v>117</v>
      </c>
      <c r="C14" s="5" t="s">
        <v>78</v>
      </c>
      <c r="D14" s="5">
        <v>229</v>
      </c>
    </row>
    <row r="15" spans="1:4" s="1" customFormat="1" ht="12">
      <c r="A15" s="5" t="s">
        <v>106</v>
      </c>
      <c r="B15" s="5">
        <v>118</v>
      </c>
      <c r="C15" s="5" t="s">
        <v>58</v>
      </c>
      <c r="D15" s="5">
        <v>209</v>
      </c>
    </row>
    <row r="16" spans="1:4" s="1" customFormat="1" ht="12">
      <c r="A16" s="5" t="s">
        <v>109</v>
      </c>
      <c r="B16" s="5">
        <v>119</v>
      </c>
      <c r="C16" s="5" t="s">
        <v>66</v>
      </c>
      <c r="D16" s="5">
        <v>217</v>
      </c>
    </row>
    <row r="17" spans="1:4" s="1" customFormat="1" ht="13.5" customHeight="1">
      <c r="A17" s="5" t="s">
        <v>110</v>
      </c>
      <c r="B17" s="5">
        <v>120</v>
      </c>
      <c r="C17" s="5" t="s">
        <v>64</v>
      </c>
      <c r="D17" s="5">
        <v>215</v>
      </c>
    </row>
    <row r="18" spans="1:4" s="1" customFormat="1" ht="12">
      <c r="A18" s="5" t="s">
        <v>111</v>
      </c>
      <c r="B18" s="5">
        <v>121</v>
      </c>
      <c r="C18" s="5" t="s">
        <v>54</v>
      </c>
      <c r="D18" s="5">
        <v>205</v>
      </c>
    </row>
    <row r="19" spans="1:4" s="1" customFormat="1" ht="12">
      <c r="A19" s="5" t="s">
        <v>112</v>
      </c>
      <c r="B19" s="5">
        <v>122</v>
      </c>
      <c r="C19" s="5" t="s">
        <v>73</v>
      </c>
      <c r="D19" s="5">
        <v>224</v>
      </c>
    </row>
    <row r="20" spans="1:4" s="1" customFormat="1" ht="12">
      <c r="A20" s="5" t="s">
        <v>113</v>
      </c>
      <c r="B20" s="5">
        <v>123</v>
      </c>
      <c r="C20" s="5" t="s">
        <v>91</v>
      </c>
      <c r="D20" s="5">
        <v>383</v>
      </c>
    </row>
    <row r="21" spans="1:4" s="1" customFormat="1" ht="12">
      <c r="A21" s="5" t="s">
        <v>114</v>
      </c>
      <c r="B21" s="5">
        <v>124</v>
      </c>
      <c r="C21" s="5" t="s">
        <v>62</v>
      </c>
      <c r="D21" s="5">
        <v>213</v>
      </c>
    </row>
    <row r="22" spans="1:4" s="1" customFormat="1" ht="12">
      <c r="A22" s="5" t="s">
        <v>115</v>
      </c>
      <c r="B22" s="5">
        <v>125</v>
      </c>
      <c r="C22" s="5" t="s">
        <v>55</v>
      </c>
      <c r="D22" s="5">
        <v>206</v>
      </c>
    </row>
    <row r="23" spans="1:4" s="1" customFormat="1" ht="12">
      <c r="A23" s="5" t="s">
        <v>116</v>
      </c>
      <c r="B23" s="5">
        <v>126</v>
      </c>
      <c r="C23" s="5" t="s">
        <v>77</v>
      </c>
      <c r="D23" s="5">
        <v>228</v>
      </c>
    </row>
    <row r="24" spans="1:4" s="1" customFormat="1" ht="12">
      <c r="A24" s="5" t="s">
        <v>117</v>
      </c>
      <c r="B24" s="5">
        <v>127</v>
      </c>
      <c r="C24" s="5" t="s">
        <v>89</v>
      </c>
      <c r="D24" s="5">
        <v>381</v>
      </c>
    </row>
    <row r="25" spans="1:4" s="1" customFormat="1" ht="12">
      <c r="A25" s="5" t="s">
        <v>118</v>
      </c>
      <c r="B25" s="5">
        <v>128</v>
      </c>
      <c r="C25" s="5" t="s">
        <v>80</v>
      </c>
      <c r="D25" s="5">
        <v>231</v>
      </c>
    </row>
    <row r="26" spans="1:4" s="1" customFormat="1" ht="12">
      <c r="A26" s="5" t="s">
        <v>50</v>
      </c>
      <c r="B26" s="5">
        <v>201</v>
      </c>
      <c r="C26" s="5" t="s">
        <v>109</v>
      </c>
      <c r="D26" s="5">
        <v>119</v>
      </c>
    </row>
    <row r="27" spans="1:4" s="1" customFormat="1" ht="12">
      <c r="A27" s="5" t="s">
        <v>51</v>
      </c>
      <c r="B27" s="5">
        <v>202</v>
      </c>
      <c r="C27" s="5" t="s">
        <v>105</v>
      </c>
      <c r="D27" s="5">
        <v>117</v>
      </c>
    </row>
    <row r="28" spans="1:4" s="1" customFormat="1" ht="12">
      <c r="A28" s="5" t="s">
        <v>52</v>
      </c>
      <c r="B28" s="5">
        <v>203</v>
      </c>
      <c r="C28" s="5" t="s">
        <v>97</v>
      </c>
      <c r="D28" s="5">
        <v>107</v>
      </c>
    </row>
    <row r="29" spans="1:4" s="1" customFormat="1" ht="12">
      <c r="A29" s="5" t="s">
        <v>53</v>
      </c>
      <c r="B29" s="5">
        <v>204</v>
      </c>
      <c r="C29" s="5" t="s">
        <v>95</v>
      </c>
      <c r="D29" s="5">
        <v>104</v>
      </c>
    </row>
    <row r="30" spans="1:4" s="1" customFormat="1" ht="12">
      <c r="A30" s="5" t="s">
        <v>54</v>
      </c>
      <c r="B30" s="5">
        <v>205</v>
      </c>
      <c r="C30" s="5" t="s">
        <v>110</v>
      </c>
      <c r="D30" s="5">
        <v>120</v>
      </c>
    </row>
    <row r="31" spans="1:4" s="1" customFormat="1" ht="12">
      <c r="A31" s="5" t="s">
        <v>55</v>
      </c>
      <c r="B31" s="5">
        <v>206</v>
      </c>
      <c r="C31" s="5" t="s">
        <v>115</v>
      </c>
      <c r="D31" s="5">
        <v>125</v>
      </c>
    </row>
    <row r="32" spans="1:4" s="1" customFormat="1" ht="12">
      <c r="A32" s="5" t="s">
        <v>56</v>
      </c>
      <c r="B32" s="5">
        <v>207</v>
      </c>
      <c r="C32" s="5" t="s">
        <v>106</v>
      </c>
      <c r="D32" s="5">
        <v>118</v>
      </c>
    </row>
    <row r="33" spans="1:4" s="1" customFormat="1" ht="12">
      <c r="A33" s="5" t="s">
        <v>57</v>
      </c>
      <c r="B33" s="5">
        <v>208</v>
      </c>
      <c r="C33" s="5" t="s">
        <v>104</v>
      </c>
      <c r="D33" s="5">
        <v>116</v>
      </c>
    </row>
    <row r="34" spans="1:4" s="1" customFormat="1" ht="12">
      <c r="A34" s="5" t="s">
        <v>58</v>
      </c>
      <c r="B34" s="5">
        <v>209</v>
      </c>
      <c r="C34" s="5" t="s">
        <v>96</v>
      </c>
      <c r="D34" s="5">
        <v>106</v>
      </c>
    </row>
    <row r="35" spans="1:4" s="1" customFormat="1" ht="12">
      <c r="A35" s="5" t="s">
        <v>59</v>
      </c>
      <c r="B35" s="5">
        <v>210</v>
      </c>
      <c r="C35" s="5" t="s">
        <v>112</v>
      </c>
      <c r="D35" s="5">
        <v>122</v>
      </c>
    </row>
    <row r="36" spans="1:4" s="1" customFormat="1" ht="12">
      <c r="A36" s="5" t="s">
        <v>60</v>
      </c>
      <c r="B36" s="5">
        <v>211</v>
      </c>
      <c r="C36" s="5" t="s">
        <v>101</v>
      </c>
      <c r="D36" s="5">
        <v>113</v>
      </c>
    </row>
    <row r="37" spans="1:4" s="1" customFormat="1" ht="12">
      <c r="A37" s="5" t="s">
        <v>61</v>
      </c>
      <c r="B37" s="5">
        <v>212</v>
      </c>
      <c r="C37" s="5" t="s">
        <v>98</v>
      </c>
      <c r="D37" s="5">
        <v>108</v>
      </c>
    </row>
    <row r="38" spans="1:4" s="1" customFormat="1" ht="12">
      <c r="A38" s="5" t="s">
        <v>62</v>
      </c>
      <c r="B38" s="5">
        <v>213</v>
      </c>
      <c r="C38" s="5" t="s">
        <v>118</v>
      </c>
      <c r="D38" s="5">
        <v>128</v>
      </c>
    </row>
    <row r="39" spans="1:4" s="1" customFormat="1" ht="12">
      <c r="A39" s="5" t="s">
        <v>63</v>
      </c>
      <c r="B39" s="5">
        <v>214</v>
      </c>
      <c r="C39" s="5" t="s">
        <v>114</v>
      </c>
      <c r="D39" s="5">
        <v>124</v>
      </c>
    </row>
    <row r="40" spans="1:4" s="1" customFormat="1" ht="12">
      <c r="A40" s="5" t="s">
        <v>64</v>
      </c>
      <c r="B40" s="5">
        <v>215</v>
      </c>
      <c r="C40" s="5" t="s">
        <v>99</v>
      </c>
      <c r="D40" s="5">
        <v>109</v>
      </c>
    </row>
    <row r="41" spans="1:4" s="1" customFormat="1" ht="12">
      <c r="A41" s="5" t="s">
        <v>65</v>
      </c>
      <c r="B41" s="5">
        <v>216</v>
      </c>
      <c r="C41" s="5" t="s">
        <v>93</v>
      </c>
      <c r="D41" s="5">
        <v>102</v>
      </c>
    </row>
    <row r="42" spans="1:4" s="1" customFormat="1" ht="12">
      <c r="A42" s="5" t="s">
        <v>66</v>
      </c>
      <c r="B42" s="5">
        <v>217</v>
      </c>
      <c r="C42" s="5" t="s">
        <v>111</v>
      </c>
      <c r="D42" s="5">
        <v>121</v>
      </c>
    </row>
    <row r="43" spans="1:4" s="1" customFormat="1" ht="12">
      <c r="A43" s="5" t="s">
        <v>67</v>
      </c>
      <c r="B43" s="5">
        <v>218</v>
      </c>
      <c r="C43" s="5" t="s">
        <v>103</v>
      </c>
      <c r="D43" s="5">
        <v>115</v>
      </c>
    </row>
    <row r="44" spans="1:4" s="1" customFormat="1" ht="12">
      <c r="A44" s="5" t="s">
        <v>68</v>
      </c>
      <c r="B44" s="5">
        <v>219</v>
      </c>
      <c r="C44" s="5" t="s">
        <v>102</v>
      </c>
      <c r="D44" s="5">
        <v>114</v>
      </c>
    </row>
    <row r="45" spans="1:4" s="1" customFormat="1" ht="12">
      <c r="A45" s="5" t="s">
        <v>69</v>
      </c>
      <c r="B45" s="5">
        <v>220</v>
      </c>
      <c r="C45" s="5" t="s">
        <v>94</v>
      </c>
      <c r="D45" s="5">
        <v>103</v>
      </c>
    </row>
    <row r="46" spans="1:4" s="1" customFormat="1" ht="12">
      <c r="A46" s="5" t="s">
        <v>70</v>
      </c>
      <c r="B46" s="5">
        <v>221</v>
      </c>
      <c r="C46" s="5" t="s">
        <v>116</v>
      </c>
      <c r="D46" s="5">
        <v>126</v>
      </c>
    </row>
    <row r="47" spans="1:4" s="1" customFormat="1" ht="12">
      <c r="A47" s="5" t="s">
        <v>71</v>
      </c>
      <c r="B47" s="5">
        <v>222</v>
      </c>
      <c r="C47" s="5" t="s">
        <v>117</v>
      </c>
      <c r="D47" s="5">
        <v>127</v>
      </c>
    </row>
    <row r="48" spans="1:4" s="1" customFormat="1" ht="12">
      <c r="A48" s="5" t="s">
        <v>72</v>
      </c>
      <c r="B48" s="5">
        <v>223</v>
      </c>
      <c r="C48" s="5" t="s">
        <v>113</v>
      </c>
      <c r="D48" s="5">
        <v>123</v>
      </c>
    </row>
    <row r="49" spans="1:4" s="1" customFormat="1" ht="12">
      <c r="A49" s="5" t="s">
        <v>73</v>
      </c>
      <c r="B49" s="5">
        <v>224</v>
      </c>
      <c r="C49" s="5" t="s">
        <v>100</v>
      </c>
      <c r="D49" s="5">
        <v>111</v>
      </c>
    </row>
    <row r="50" spans="1:4" s="1" customFormat="1" ht="12">
      <c r="A50" s="5" t="s">
        <v>74</v>
      </c>
      <c r="B50" s="5">
        <v>225</v>
      </c>
      <c r="C50" s="5" t="s">
        <v>67</v>
      </c>
      <c r="D50" s="5">
        <v>218</v>
      </c>
    </row>
    <row r="51" spans="1:4" s="1" customFormat="1" ht="12">
      <c r="A51" s="5" t="s">
        <v>75</v>
      </c>
      <c r="B51" s="5">
        <v>226</v>
      </c>
      <c r="C51" s="5" t="s">
        <v>53</v>
      </c>
      <c r="D51" s="5">
        <v>204</v>
      </c>
    </row>
    <row r="52" spans="1:4" ht="13.5">
      <c r="A52" s="2" t="s">
        <v>76</v>
      </c>
      <c r="B52" s="2">
        <v>227</v>
      </c>
      <c r="C52" s="2" t="s">
        <v>85</v>
      </c>
      <c r="D52" s="2">
        <v>341</v>
      </c>
    </row>
    <row r="53" spans="1:4" ht="13.5">
      <c r="A53" s="2" t="s">
        <v>77</v>
      </c>
      <c r="B53" s="2">
        <v>228</v>
      </c>
      <c r="C53" s="2" t="s">
        <v>87</v>
      </c>
      <c r="D53" s="2">
        <v>362</v>
      </c>
    </row>
    <row r="54" spans="1:4" ht="13.5">
      <c r="A54" s="2" t="s">
        <v>78</v>
      </c>
      <c r="B54" s="2">
        <v>229</v>
      </c>
      <c r="C54" s="2" t="s">
        <v>82</v>
      </c>
      <c r="D54" s="2">
        <v>301</v>
      </c>
    </row>
    <row r="55" spans="1:4" ht="13.5">
      <c r="A55" s="2" t="s">
        <v>79</v>
      </c>
      <c r="B55" s="2">
        <v>230</v>
      </c>
      <c r="C55" s="2" t="s">
        <v>76</v>
      </c>
      <c r="D55" s="2">
        <v>227</v>
      </c>
    </row>
    <row r="56" spans="1:4" ht="13.5">
      <c r="A56" s="2" t="s">
        <v>80</v>
      </c>
      <c r="B56" s="2">
        <v>231</v>
      </c>
      <c r="C56" s="2" t="s">
        <v>75</v>
      </c>
      <c r="D56" s="2">
        <v>226</v>
      </c>
    </row>
    <row r="57" spans="1:4" ht="13.5">
      <c r="A57" s="2" t="s">
        <v>81</v>
      </c>
      <c r="B57" s="2">
        <v>232</v>
      </c>
      <c r="C57" s="2" t="s">
        <v>84</v>
      </c>
      <c r="D57" s="2">
        <v>322</v>
      </c>
    </row>
    <row r="58" spans="1:4" ht="13.5">
      <c r="A58" s="2" t="s">
        <v>82</v>
      </c>
      <c r="B58" s="2">
        <v>301</v>
      </c>
      <c r="C58" s="2" t="s">
        <v>70</v>
      </c>
      <c r="D58" s="2">
        <v>221</v>
      </c>
    </row>
    <row r="59" spans="1:4" ht="13.5">
      <c r="A59" s="2" t="s">
        <v>83</v>
      </c>
      <c r="B59" s="2">
        <v>321</v>
      </c>
      <c r="C59" s="2" t="s">
        <v>61</v>
      </c>
      <c r="D59" s="2">
        <v>212</v>
      </c>
    </row>
    <row r="60" spans="1:4" ht="13.5">
      <c r="A60" s="2" t="s">
        <v>84</v>
      </c>
      <c r="B60" s="2">
        <v>322</v>
      </c>
      <c r="C60" s="2" t="s">
        <v>92</v>
      </c>
      <c r="D60" s="2">
        <v>385</v>
      </c>
    </row>
    <row r="61" spans="1:4" ht="13.5">
      <c r="A61" s="2" t="s">
        <v>85</v>
      </c>
      <c r="B61" s="2">
        <v>341</v>
      </c>
      <c r="C61" s="2" t="s">
        <v>63</v>
      </c>
      <c r="D61" s="2">
        <v>214</v>
      </c>
    </row>
    <row r="62" spans="1:4" ht="13.5">
      <c r="A62" s="2" t="s">
        <v>86</v>
      </c>
      <c r="B62" s="2">
        <v>361</v>
      </c>
      <c r="C62" s="2" t="s">
        <v>52</v>
      </c>
      <c r="D62" s="2">
        <v>203</v>
      </c>
    </row>
    <row r="63" spans="1:4" ht="13.5">
      <c r="A63" s="2" t="s">
        <v>87</v>
      </c>
      <c r="B63" s="2">
        <v>362</v>
      </c>
      <c r="C63" s="2" t="s">
        <v>83</v>
      </c>
      <c r="D63" s="2">
        <v>321</v>
      </c>
    </row>
    <row r="64" spans="1:4" ht="13.5">
      <c r="A64" s="2" t="s">
        <v>88</v>
      </c>
      <c r="B64" s="2">
        <v>366</v>
      </c>
      <c r="C64" s="2" t="s">
        <v>59</v>
      </c>
      <c r="D64" s="2">
        <v>210</v>
      </c>
    </row>
    <row r="65" spans="1:4" ht="13.5">
      <c r="A65" s="2" t="s">
        <v>89</v>
      </c>
      <c r="B65" s="2">
        <v>381</v>
      </c>
      <c r="C65" s="2" t="s">
        <v>69</v>
      </c>
      <c r="D65" s="2">
        <v>220</v>
      </c>
    </row>
    <row r="66" spans="1:4" ht="13.5">
      <c r="A66" s="2" t="s">
        <v>90</v>
      </c>
      <c r="B66" s="2">
        <v>382</v>
      </c>
      <c r="C66" s="2" t="s">
        <v>88</v>
      </c>
      <c r="D66" s="2">
        <v>366</v>
      </c>
    </row>
    <row r="67" spans="1:4" ht="13.5" customHeight="1">
      <c r="A67" s="2" t="s">
        <v>91</v>
      </c>
      <c r="B67" s="2">
        <v>383</v>
      </c>
      <c r="C67" s="2" t="s">
        <v>72</v>
      </c>
      <c r="D67" s="2">
        <v>223</v>
      </c>
    </row>
    <row r="68" spans="1:4" ht="13.5">
      <c r="A68" s="2" t="s">
        <v>92</v>
      </c>
      <c r="B68" s="2">
        <v>385</v>
      </c>
      <c r="C68" s="2" t="s">
        <v>68</v>
      </c>
      <c r="D68" s="2">
        <v>219</v>
      </c>
    </row>
  </sheetData>
  <sheetProtection/>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L30"/>
  <sheetViews>
    <sheetView workbookViewId="0" topLeftCell="A1">
      <selection activeCell="A33" sqref="A33"/>
    </sheetView>
  </sheetViews>
  <sheetFormatPr defaultColWidth="9.00390625" defaultRowHeight="13.5"/>
  <cols>
    <col min="1" max="1" width="23.625" style="258" customWidth="1"/>
    <col min="2" max="2" width="16.375" style="258" customWidth="1"/>
    <col min="3" max="3" width="5.875" style="258" customWidth="1"/>
    <col min="4" max="4" width="36.50390625" style="258" customWidth="1"/>
    <col min="5" max="5" width="4.50390625" style="258" customWidth="1"/>
    <col min="6" max="6" width="18.00390625" style="258" customWidth="1"/>
    <col min="7" max="9" width="10.625" style="258" customWidth="1"/>
    <col min="10" max="16384" width="9.00390625" style="258" customWidth="1"/>
  </cols>
  <sheetData>
    <row r="3" spans="2:5" ht="14.25">
      <c r="B3" s="259"/>
      <c r="C3" s="259"/>
      <c r="D3" s="259" t="s">
        <v>260</v>
      </c>
      <c r="E3" s="260"/>
    </row>
    <row r="4" ht="50.25" customHeight="1"/>
    <row r="5" spans="1:4" ht="22.5" customHeight="1">
      <c r="A5" s="260" t="s">
        <v>711</v>
      </c>
      <c r="B5" s="260"/>
      <c r="C5" s="260"/>
      <c r="D5" s="260"/>
    </row>
    <row r="6" spans="1:4" ht="22.5" customHeight="1">
      <c r="A6" s="260"/>
      <c r="B6" s="260"/>
      <c r="C6" s="260"/>
      <c r="D6" s="260"/>
    </row>
    <row r="7" spans="1:4" ht="22.5" customHeight="1">
      <c r="A7" s="260"/>
      <c r="B7" s="260"/>
      <c r="C7" s="260"/>
      <c r="D7" s="260"/>
    </row>
    <row r="8" ht="23.25" customHeight="1"/>
    <row r="9" spans="1:12" ht="58.5" customHeight="1">
      <c r="A9" s="261" t="s">
        <v>238</v>
      </c>
      <c r="B9" s="261"/>
      <c r="C9" s="262"/>
      <c r="D9" s="263" t="s">
        <v>237</v>
      </c>
      <c r="E9" s="263" t="s">
        <v>239</v>
      </c>
      <c r="F9" s="264"/>
      <c r="G9" s="264"/>
      <c r="H9" s="264"/>
      <c r="I9" s="264"/>
      <c r="J9" s="264"/>
      <c r="K9" s="264"/>
      <c r="L9" s="264"/>
    </row>
    <row r="10" spans="1:6" ht="19.5" customHeight="1">
      <c r="A10" s="261"/>
      <c r="B10" s="261"/>
      <c r="D10" s="265"/>
      <c r="E10" s="265"/>
      <c r="F10" s="265"/>
    </row>
    <row r="11" spans="2:6" ht="158.25" customHeight="1">
      <c r="B11" s="266"/>
      <c r="C11" s="266" t="s">
        <v>306</v>
      </c>
      <c r="D11" s="266"/>
      <c r="E11" s="266"/>
      <c r="F11" s="266"/>
    </row>
    <row r="12" spans="1:6" ht="60" customHeight="1">
      <c r="A12" s="376" t="s">
        <v>307</v>
      </c>
      <c r="B12" s="376"/>
      <c r="C12" s="376"/>
      <c r="D12" s="376"/>
      <c r="E12" s="260"/>
      <c r="F12" s="260"/>
    </row>
    <row r="27" spans="1:6" ht="14.25">
      <c r="A27" s="267"/>
      <c r="B27" s="268"/>
      <c r="C27" s="269"/>
      <c r="D27" s="270"/>
      <c r="E27" s="271"/>
      <c r="F27" s="271"/>
    </row>
    <row r="28" spans="1:6" ht="14.25">
      <c r="A28" s="272" t="s">
        <v>207</v>
      </c>
      <c r="B28" s="273"/>
      <c r="C28" s="271"/>
      <c r="D28" s="274"/>
      <c r="E28" s="271"/>
      <c r="F28" s="271"/>
    </row>
    <row r="29" spans="1:6" ht="14.25">
      <c r="A29" s="275"/>
      <c r="B29" s="276"/>
      <c r="C29" s="277"/>
      <c r="D29" s="278"/>
      <c r="E29" s="271"/>
      <c r="F29" s="271"/>
    </row>
    <row r="30" ht="14.25">
      <c r="A30" s="258" t="s">
        <v>208</v>
      </c>
    </row>
  </sheetData>
  <mergeCells count="1">
    <mergeCell ref="A12:D12"/>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&amp;R様式１</oddHeader>
  </headerFooter>
</worksheet>
</file>

<file path=xl/worksheets/sheet3.xml><?xml version="1.0" encoding="utf-8"?>
<worksheet xmlns="http://schemas.openxmlformats.org/spreadsheetml/2006/main" xmlns:r="http://schemas.openxmlformats.org/officeDocument/2006/relationships">
  <dimension ref="A1:I98"/>
  <sheetViews>
    <sheetView workbookViewId="0" topLeftCell="A1">
      <selection activeCell="J13" sqref="J13"/>
    </sheetView>
  </sheetViews>
  <sheetFormatPr defaultColWidth="9.00390625" defaultRowHeight="13.5"/>
  <cols>
    <col min="1" max="1" width="19.375" style="280" customWidth="1"/>
    <col min="2" max="2" width="17.50390625" style="280" customWidth="1"/>
    <col min="3" max="3" width="48.75390625" style="280" customWidth="1"/>
    <col min="4" max="4" width="5.875" style="280" hidden="1" customWidth="1"/>
    <col min="5" max="5" width="15.125" style="280" hidden="1" customWidth="1"/>
    <col min="6" max="6" width="6.50390625" style="280" hidden="1" customWidth="1"/>
    <col min="7" max="7" width="16.50390625" style="280" hidden="1" customWidth="1"/>
    <col min="8" max="9" width="10.625" style="280" hidden="1" customWidth="1"/>
    <col min="10" max="10" width="10.625" style="280" customWidth="1"/>
    <col min="11" max="16384" width="9.00390625" style="280" customWidth="1"/>
  </cols>
  <sheetData>
    <row r="1" spans="1:7" ht="34.5" customHeight="1">
      <c r="A1" s="379" t="s">
        <v>690</v>
      </c>
      <c r="B1" s="380"/>
      <c r="C1" s="380"/>
      <c r="D1" s="279"/>
      <c r="E1" s="279"/>
      <c r="F1" s="279"/>
      <c r="G1" s="279"/>
    </row>
    <row r="2" spans="1:8" ht="17.25" customHeight="1">
      <c r="A2" s="281"/>
      <c r="E2" s="4" t="s">
        <v>199</v>
      </c>
      <c r="F2" s="4" t="s">
        <v>200</v>
      </c>
      <c r="G2" s="4" t="s">
        <v>127</v>
      </c>
      <c r="H2" s="4" t="s">
        <v>200</v>
      </c>
    </row>
    <row r="3" spans="1:8" ht="17.25">
      <c r="A3" s="282" t="str">
        <f>"１．特定事業者の概要（"&amp;LOOKUP('自動車台帳'!$F$1,実績報告年度,'自動車台帳'!$M$336:$M$339)&amp;"）"</f>
        <v>１．特定事業者の概要（平成14年度）</v>
      </c>
      <c r="B3" s="283"/>
      <c r="C3" s="283"/>
      <c r="D3" s="283"/>
      <c r="E3" s="5" t="s">
        <v>714</v>
      </c>
      <c r="F3" s="5">
        <v>28101</v>
      </c>
      <c r="G3" s="5" t="s">
        <v>715</v>
      </c>
      <c r="H3" s="5">
        <v>28206</v>
      </c>
    </row>
    <row r="4" spans="1:9" ht="17.25">
      <c r="A4" s="284" t="s">
        <v>261</v>
      </c>
      <c r="B4" s="284"/>
      <c r="C4" s="341"/>
      <c r="D4" s="285"/>
      <c r="E4" s="5" t="s">
        <v>716</v>
      </c>
      <c r="F4" s="5">
        <v>28102</v>
      </c>
      <c r="G4" s="5" t="s">
        <v>717</v>
      </c>
      <c r="H4" s="5">
        <v>28207</v>
      </c>
      <c r="I4" s="285"/>
    </row>
    <row r="5" spans="1:9" ht="17.25">
      <c r="A5" s="381" t="s">
        <v>712</v>
      </c>
      <c r="B5" s="254" t="s">
        <v>713</v>
      </c>
      <c r="C5" s="341"/>
      <c r="D5" s="285"/>
      <c r="E5" s="5" t="s">
        <v>718</v>
      </c>
      <c r="F5" s="5">
        <v>28105</v>
      </c>
      <c r="G5" s="5" t="s">
        <v>719</v>
      </c>
      <c r="H5" s="5">
        <v>28381</v>
      </c>
      <c r="I5" s="285"/>
    </row>
    <row r="6" spans="1:9" ht="17.25">
      <c r="A6" s="381"/>
      <c r="B6" s="254" t="s">
        <v>130</v>
      </c>
      <c r="C6" s="341"/>
      <c r="D6" s="285"/>
      <c r="E6" s="5" t="s">
        <v>720</v>
      </c>
      <c r="F6" s="5">
        <v>28106</v>
      </c>
      <c r="G6" s="5" t="s">
        <v>721</v>
      </c>
      <c r="H6" s="5">
        <v>28382</v>
      </c>
      <c r="I6" s="285"/>
    </row>
    <row r="7" spans="1:9" ht="17.25">
      <c r="A7" s="377" t="s">
        <v>325</v>
      </c>
      <c r="B7" s="254" t="s">
        <v>326</v>
      </c>
      <c r="C7" s="341"/>
      <c r="D7" s="285"/>
      <c r="E7" s="5" t="s">
        <v>722</v>
      </c>
      <c r="F7" s="5">
        <v>28107</v>
      </c>
      <c r="G7" s="5" t="s">
        <v>723</v>
      </c>
      <c r="H7" s="5">
        <v>28210</v>
      </c>
      <c r="I7" s="285"/>
    </row>
    <row r="8" spans="1:8" ht="17.25">
      <c r="A8" s="378"/>
      <c r="B8" s="254" t="s">
        <v>121</v>
      </c>
      <c r="C8" s="342"/>
      <c r="E8" s="5" t="s">
        <v>724</v>
      </c>
      <c r="F8" s="5">
        <v>28108</v>
      </c>
      <c r="G8" s="5" t="s">
        <v>725</v>
      </c>
      <c r="H8" s="5">
        <v>28220</v>
      </c>
    </row>
    <row r="9" spans="1:8" ht="17.25">
      <c r="A9" s="378"/>
      <c r="B9" s="286" t="s">
        <v>122</v>
      </c>
      <c r="C9" s="343"/>
      <c r="E9" s="5" t="s">
        <v>726</v>
      </c>
      <c r="F9" s="5">
        <v>28109</v>
      </c>
      <c r="G9" s="5" t="s">
        <v>727</v>
      </c>
      <c r="H9" s="5">
        <v>28341</v>
      </c>
    </row>
    <row r="10" spans="1:8" ht="17.25">
      <c r="A10" s="378"/>
      <c r="B10" s="286" t="s">
        <v>327</v>
      </c>
      <c r="C10" s="343"/>
      <c r="E10" s="5" t="s">
        <v>728</v>
      </c>
      <c r="F10" s="5">
        <v>28110</v>
      </c>
      <c r="G10" s="5" t="s">
        <v>729</v>
      </c>
      <c r="H10" s="5">
        <v>28342</v>
      </c>
    </row>
    <row r="11" spans="1:8" ht="17.25">
      <c r="A11" s="378"/>
      <c r="B11" s="286" t="s">
        <v>328</v>
      </c>
      <c r="C11" s="343"/>
      <c r="E11" s="5" t="s">
        <v>730</v>
      </c>
      <c r="F11" s="5">
        <v>28111</v>
      </c>
      <c r="G11" s="5" t="s">
        <v>731</v>
      </c>
      <c r="H11" s="5">
        <v>28343</v>
      </c>
    </row>
    <row r="12" spans="1:8" ht="17.25">
      <c r="A12" s="378"/>
      <c r="B12" s="286" t="s">
        <v>123</v>
      </c>
      <c r="C12" s="343"/>
      <c r="E12" s="5" t="s">
        <v>732</v>
      </c>
      <c r="F12" s="5">
        <v>28201</v>
      </c>
      <c r="G12" s="5" t="s">
        <v>733</v>
      </c>
      <c r="H12" s="5">
        <v>28216</v>
      </c>
    </row>
    <row r="13" spans="1:8" ht="17.25">
      <c r="A13" s="378"/>
      <c r="B13" s="286" t="s">
        <v>124</v>
      </c>
      <c r="C13" s="343"/>
      <c r="E13" s="5" t="s">
        <v>734</v>
      </c>
      <c r="F13" s="5">
        <v>28202</v>
      </c>
      <c r="G13" s="2" t="s">
        <v>735</v>
      </c>
      <c r="H13" s="2">
        <v>28501</v>
      </c>
    </row>
    <row r="14" spans="1:8" ht="17.25">
      <c r="A14" s="363"/>
      <c r="B14" s="286" t="s">
        <v>125</v>
      </c>
      <c r="C14" s="343"/>
      <c r="E14" s="5" t="s">
        <v>736</v>
      </c>
      <c r="F14" s="5">
        <v>28203</v>
      </c>
      <c r="G14" s="2" t="s">
        <v>737</v>
      </c>
      <c r="H14" s="2">
        <v>28504</v>
      </c>
    </row>
    <row r="15" spans="1:8" ht="17.25">
      <c r="A15" s="287"/>
      <c r="B15" s="288"/>
      <c r="C15" s="289"/>
      <c r="E15" s="5" t="s">
        <v>738</v>
      </c>
      <c r="F15" s="5">
        <v>28204</v>
      </c>
      <c r="G15" s="2" t="s">
        <v>739</v>
      </c>
      <c r="H15" s="2">
        <v>28502</v>
      </c>
    </row>
    <row r="16" spans="5:8" ht="17.25">
      <c r="E16" s="5" t="s">
        <v>740</v>
      </c>
      <c r="F16" s="5">
        <v>28205</v>
      </c>
      <c r="G16" s="2" t="s">
        <v>741</v>
      </c>
      <c r="H16" s="2">
        <v>28503</v>
      </c>
    </row>
    <row r="17" spans="2:8" ht="17.25">
      <c r="B17" s="290" t="s">
        <v>129</v>
      </c>
      <c r="C17" s="291"/>
      <c r="E17" s="5" t="s">
        <v>715</v>
      </c>
      <c r="F17" s="5">
        <v>28206</v>
      </c>
      <c r="G17" s="5" t="s">
        <v>742</v>
      </c>
      <c r="H17" s="2">
        <v>28703</v>
      </c>
    </row>
    <row r="18" spans="2:8" ht="17.25">
      <c r="B18" s="292" t="s">
        <v>208</v>
      </c>
      <c r="E18" s="5" t="s">
        <v>717</v>
      </c>
      <c r="F18" s="5">
        <v>28207</v>
      </c>
      <c r="G18" s="5" t="s">
        <v>743</v>
      </c>
      <c r="H18" s="2">
        <v>28702</v>
      </c>
    </row>
    <row r="19" spans="5:8" ht="17.25">
      <c r="E19" s="5" t="s">
        <v>744</v>
      </c>
      <c r="F19" s="5">
        <v>28208</v>
      </c>
      <c r="G19" s="5" t="s">
        <v>745</v>
      </c>
      <c r="H19" s="2">
        <v>28704</v>
      </c>
    </row>
    <row r="20" spans="5:8" ht="17.25">
      <c r="E20" s="5" t="s">
        <v>746</v>
      </c>
      <c r="F20" s="5">
        <v>28209</v>
      </c>
      <c r="G20" s="5" t="s">
        <v>747</v>
      </c>
      <c r="H20" s="2">
        <v>28701</v>
      </c>
    </row>
    <row r="21" spans="5:8" ht="17.25">
      <c r="E21" s="5" t="s">
        <v>723</v>
      </c>
      <c r="F21" s="5">
        <v>28210</v>
      </c>
      <c r="G21" s="5" t="s">
        <v>748</v>
      </c>
      <c r="H21" s="5">
        <v>28219</v>
      </c>
    </row>
    <row r="22" spans="5:8" ht="17.25">
      <c r="E22" s="5" t="s">
        <v>749</v>
      </c>
      <c r="F22" s="5">
        <v>28211</v>
      </c>
      <c r="G22" s="5" t="s">
        <v>750</v>
      </c>
      <c r="H22" s="5">
        <v>28215</v>
      </c>
    </row>
    <row r="23" spans="5:8" ht="17.25">
      <c r="E23" s="5" t="s">
        <v>751</v>
      </c>
      <c r="F23" s="5">
        <v>28212</v>
      </c>
      <c r="G23" s="2" t="s">
        <v>752</v>
      </c>
      <c r="H23" s="2">
        <v>28522</v>
      </c>
    </row>
    <row r="24" spans="5:8" ht="17.25">
      <c r="E24" s="5" t="s">
        <v>753</v>
      </c>
      <c r="F24" s="5">
        <v>28213</v>
      </c>
      <c r="G24" s="2" t="s">
        <v>754</v>
      </c>
      <c r="H24" s="2">
        <v>28523</v>
      </c>
    </row>
    <row r="25" spans="5:8" ht="17.25">
      <c r="E25" s="5" t="s">
        <v>755</v>
      </c>
      <c r="F25" s="5">
        <v>28214</v>
      </c>
      <c r="G25" s="2" t="s">
        <v>756</v>
      </c>
      <c r="H25" s="2">
        <v>28521</v>
      </c>
    </row>
    <row r="26" spans="5:8" ht="17.25">
      <c r="E26" s="5" t="s">
        <v>750</v>
      </c>
      <c r="F26" s="5">
        <v>28215</v>
      </c>
      <c r="G26" s="2" t="s">
        <v>757</v>
      </c>
      <c r="H26" s="2">
        <v>28525</v>
      </c>
    </row>
    <row r="27" spans="5:8" ht="17.25">
      <c r="E27" s="5" t="s">
        <v>733</v>
      </c>
      <c r="F27" s="5">
        <v>28216</v>
      </c>
      <c r="G27" s="2" t="s">
        <v>758</v>
      </c>
      <c r="H27" s="2">
        <v>28524</v>
      </c>
    </row>
    <row r="28" spans="5:8" ht="17.25">
      <c r="E28" s="5" t="s">
        <v>759</v>
      </c>
      <c r="F28" s="5">
        <v>28217</v>
      </c>
      <c r="G28" s="5" t="s">
        <v>760</v>
      </c>
      <c r="H28" s="2">
        <v>28820</v>
      </c>
    </row>
    <row r="29" spans="5:8" ht="17.25">
      <c r="E29" s="5" t="s">
        <v>761</v>
      </c>
      <c r="F29" s="5">
        <v>28218</v>
      </c>
      <c r="G29" s="5" t="s">
        <v>740</v>
      </c>
      <c r="H29" s="5">
        <v>28205</v>
      </c>
    </row>
    <row r="30" spans="5:8" ht="17.25">
      <c r="E30" s="5" t="s">
        <v>748</v>
      </c>
      <c r="F30" s="5">
        <v>28219</v>
      </c>
      <c r="G30" s="2" t="s">
        <v>762</v>
      </c>
      <c r="H30" s="2">
        <v>28561</v>
      </c>
    </row>
    <row r="31" spans="5:8" ht="17.25">
      <c r="E31" s="5" t="s">
        <v>725</v>
      </c>
      <c r="F31" s="5">
        <v>28220</v>
      </c>
      <c r="G31" s="2" t="s">
        <v>763</v>
      </c>
      <c r="H31" s="2">
        <v>28562</v>
      </c>
    </row>
    <row r="32" spans="5:8" ht="17.25">
      <c r="E32" s="5" t="s">
        <v>764</v>
      </c>
      <c r="F32" s="5">
        <v>28301</v>
      </c>
      <c r="G32" s="5" t="s">
        <v>761</v>
      </c>
      <c r="H32" s="5">
        <v>28218</v>
      </c>
    </row>
    <row r="33" spans="5:8" ht="17.25">
      <c r="E33" s="5" t="s">
        <v>765</v>
      </c>
      <c r="F33" s="5">
        <v>28321</v>
      </c>
      <c r="G33" s="2" t="s">
        <v>766</v>
      </c>
      <c r="H33" s="2">
        <v>28543</v>
      </c>
    </row>
    <row r="34" spans="5:8" ht="17.25">
      <c r="E34" s="5" t="s">
        <v>727</v>
      </c>
      <c r="F34" s="5">
        <v>28341</v>
      </c>
      <c r="G34" s="2" t="s">
        <v>767</v>
      </c>
      <c r="H34" s="2">
        <v>28541</v>
      </c>
    </row>
    <row r="35" spans="5:8" ht="17.25">
      <c r="E35" s="5" t="s">
        <v>729</v>
      </c>
      <c r="F35" s="5">
        <v>28342</v>
      </c>
      <c r="G35" s="2" t="s">
        <v>768</v>
      </c>
      <c r="H35" s="2">
        <v>28542</v>
      </c>
    </row>
    <row r="36" spans="5:8" ht="17.25">
      <c r="E36" s="5" t="s">
        <v>731</v>
      </c>
      <c r="F36" s="5">
        <v>28343</v>
      </c>
      <c r="G36" s="2" t="s">
        <v>769</v>
      </c>
      <c r="H36" s="2">
        <v>28544</v>
      </c>
    </row>
    <row r="37" spans="5:8" ht="17.25">
      <c r="E37" s="5" t="s">
        <v>770</v>
      </c>
      <c r="F37" s="5">
        <v>28361</v>
      </c>
      <c r="G37" s="5" t="s">
        <v>771</v>
      </c>
      <c r="H37" s="5">
        <v>28421</v>
      </c>
    </row>
    <row r="38" spans="5:8" ht="17.25">
      <c r="E38" s="5" t="s">
        <v>772</v>
      </c>
      <c r="F38" s="5">
        <v>28362</v>
      </c>
      <c r="G38" s="5" t="s">
        <v>773</v>
      </c>
      <c r="H38" s="5">
        <v>28422</v>
      </c>
    </row>
    <row r="39" spans="5:8" ht="17.25">
      <c r="E39" s="5" t="s">
        <v>774</v>
      </c>
      <c r="F39" s="5">
        <v>28363</v>
      </c>
      <c r="G39" s="5" t="s">
        <v>722</v>
      </c>
      <c r="H39" s="5">
        <v>28107</v>
      </c>
    </row>
    <row r="40" spans="5:8" ht="17.25">
      <c r="E40" s="5" t="s">
        <v>775</v>
      </c>
      <c r="F40" s="5">
        <v>28364</v>
      </c>
      <c r="G40" s="5" t="s">
        <v>724</v>
      </c>
      <c r="H40" s="5">
        <v>28108</v>
      </c>
    </row>
    <row r="41" spans="5:8" ht="17.25">
      <c r="E41" s="5" t="s">
        <v>719</v>
      </c>
      <c r="F41" s="5">
        <v>28381</v>
      </c>
      <c r="G41" s="5" t="s">
        <v>730</v>
      </c>
      <c r="H41" s="5">
        <v>28110</v>
      </c>
    </row>
    <row r="42" spans="5:8" ht="17.25">
      <c r="E42" s="5" t="s">
        <v>721</v>
      </c>
      <c r="F42" s="5">
        <v>28382</v>
      </c>
      <c r="G42" s="5" t="s">
        <v>728</v>
      </c>
      <c r="H42" s="5">
        <v>28110</v>
      </c>
    </row>
    <row r="43" spans="5:8" ht="17.25">
      <c r="E43" s="5" t="s">
        <v>771</v>
      </c>
      <c r="F43" s="5">
        <v>28421</v>
      </c>
      <c r="G43" s="5" t="s">
        <v>720</v>
      </c>
      <c r="H43" s="5">
        <v>28106</v>
      </c>
    </row>
    <row r="44" spans="5:8" ht="17.25">
      <c r="E44" s="5" t="s">
        <v>773</v>
      </c>
      <c r="F44" s="5">
        <v>28422</v>
      </c>
      <c r="G44" s="5" t="s">
        <v>714</v>
      </c>
      <c r="H44" s="5">
        <v>28101</v>
      </c>
    </row>
    <row r="45" spans="5:8" ht="17.25">
      <c r="E45" s="5" t="s">
        <v>776</v>
      </c>
      <c r="F45" s="5">
        <v>28441</v>
      </c>
      <c r="G45" s="5" t="s">
        <v>716</v>
      </c>
      <c r="H45" s="5">
        <v>28102</v>
      </c>
    </row>
    <row r="46" spans="5:8" ht="17.25">
      <c r="E46" s="5" t="s">
        <v>777</v>
      </c>
      <c r="F46" s="5">
        <v>28442</v>
      </c>
      <c r="G46" s="5" t="s">
        <v>718</v>
      </c>
      <c r="H46" s="5">
        <v>28105</v>
      </c>
    </row>
    <row r="47" spans="5:8" ht="17.25">
      <c r="E47" s="5" t="s">
        <v>778</v>
      </c>
      <c r="F47" s="5">
        <v>28443</v>
      </c>
      <c r="G47" s="5" t="s">
        <v>726</v>
      </c>
      <c r="H47" s="5">
        <v>28109</v>
      </c>
    </row>
    <row r="48" spans="5:8" ht="17.25">
      <c r="E48" s="5" t="s">
        <v>779</v>
      </c>
      <c r="F48" s="5">
        <v>28444</v>
      </c>
      <c r="G48" s="5" t="s">
        <v>779</v>
      </c>
      <c r="H48" s="5">
        <v>28444</v>
      </c>
    </row>
    <row r="49" spans="5:8" ht="17.25">
      <c r="E49" s="5" t="s">
        <v>780</v>
      </c>
      <c r="F49" s="5">
        <v>28445</v>
      </c>
      <c r="G49" s="5" t="s">
        <v>777</v>
      </c>
      <c r="H49" s="5">
        <v>28442</v>
      </c>
    </row>
    <row r="50" spans="5:8" ht="17.25">
      <c r="E50" s="5" t="s">
        <v>781</v>
      </c>
      <c r="F50" s="5">
        <v>28461</v>
      </c>
      <c r="G50" s="5" t="s">
        <v>776</v>
      </c>
      <c r="H50" s="5">
        <v>28441</v>
      </c>
    </row>
    <row r="51" spans="5:8" ht="17.25">
      <c r="E51" s="5" t="s">
        <v>782</v>
      </c>
      <c r="F51" s="5">
        <v>28462</v>
      </c>
      <c r="G51" s="5" t="s">
        <v>780</v>
      </c>
      <c r="H51" s="5">
        <v>28445</v>
      </c>
    </row>
    <row r="52" spans="5:8" ht="17.25">
      <c r="E52" s="5" t="s">
        <v>783</v>
      </c>
      <c r="F52" s="5">
        <v>28463</v>
      </c>
      <c r="G52" s="5" t="s">
        <v>778</v>
      </c>
      <c r="H52" s="5">
        <v>28443</v>
      </c>
    </row>
    <row r="53" spans="5:8" ht="17.25">
      <c r="E53" s="2" t="s">
        <v>784</v>
      </c>
      <c r="F53" s="2">
        <v>28464</v>
      </c>
      <c r="G53" s="5" t="s">
        <v>738</v>
      </c>
      <c r="H53" s="5">
        <v>28204</v>
      </c>
    </row>
    <row r="54" spans="5:8" ht="17.25">
      <c r="E54" s="2" t="s">
        <v>785</v>
      </c>
      <c r="F54" s="2">
        <v>28481</v>
      </c>
      <c r="G54" s="5" t="s">
        <v>753</v>
      </c>
      <c r="H54" s="5">
        <v>28213</v>
      </c>
    </row>
    <row r="55" spans="5:8" ht="17.25">
      <c r="E55" s="2" t="s">
        <v>735</v>
      </c>
      <c r="F55" s="2">
        <v>28501</v>
      </c>
      <c r="G55" s="2" t="s">
        <v>785</v>
      </c>
      <c r="H55" s="2">
        <v>28481</v>
      </c>
    </row>
    <row r="56" spans="5:8" ht="17.25">
      <c r="E56" s="2" t="s">
        <v>739</v>
      </c>
      <c r="F56" s="2">
        <v>28502</v>
      </c>
      <c r="G56" s="5" t="s">
        <v>751</v>
      </c>
      <c r="H56" s="5">
        <v>28212</v>
      </c>
    </row>
    <row r="57" spans="5:8" ht="17.25">
      <c r="E57" s="2" t="s">
        <v>741</v>
      </c>
      <c r="F57" s="2">
        <v>28503</v>
      </c>
      <c r="G57" s="5" t="s">
        <v>759</v>
      </c>
      <c r="H57" s="5">
        <v>28217</v>
      </c>
    </row>
    <row r="58" spans="5:8" ht="17.25">
      <c r="E58" s="2" t="s">
        <v>737</v>
      </c>
      <c r="F58" s="2">
        <v>28504</v>
      </c>
      <c r="G58" s="5" t="s">
        <v>764</v>
      </c>
      <c r="H58" s="5">
        <v>28301</v>
      </c>
    </row>
    <row r="59" spans="5:8" ht="17.25">
      <c r="E59" s="2" t="s">
        <v>756</v>
      </c>
      <c r="F59" s="2">
        <v>28521</v>
      </c>
      <c r="G59" s="5" t="s">
        <v>744</v>
      </c>
      <c r="H59" s="5">
        <v>28208</v>
      </c>
    </row>
    <row r="60" spans="5:8" ht="17.25">
      <c r="E60" s="2" t="s">
        <v>752</v>
      </c>
      <c r="F60" s="2">
        <v>28522</v>
      </c>
      <c r="G60" s="5" t="s">
        <v>772</v>
      </c>
      <c r="H60" s="5">
        <v>28362</v>
      </c>
    </row>
    <row r="61" spans="5:8" ht="17.25">
      <c r="E61" s="2" t="s">
        <v>754</v>
      </c>
      <c r="F61" s="2">
        <v>28523</v>
      </c>
      <c r="G61" s="5" t="s">
        <v>775</v>
      </c>
      <c r="H61" s="5">
        <v>28364</v>
      </c>
    </row>
    <row r="62" spans="5:8" ht="17.25">
      <c r="E62" s="2" t="s">
        <v>758</v>
      </c>
      <c r="F62" s="2">
        <v>28524</v>
      </c>
      <c r="G62" s="5" t="s">
        <v>770</v>
      </c>
      <c r="H62" s="5">
        <v>28361</v>
      </c>
    </row>
    <row r="63" spans="5:8" ht="17.25">
      <c r="E63" s="2" t="s">
        <v>757</v>
      </c>
      <c r="F63" s="2">
        <v>28525</v>
      </c>
      <c r="G63" s="5" t="s">
        <v>774</v>
      </c>
      <c r="H63" s="5">
        <v>28363</v>
      </c>
    </row>
    <row r="64" spans="5:8" ht="17.25">
      <c r="E64" s="2" t="s">
        <v>767</v>
      </c>
      <c r="F64" s="2">
        <v>28541</v>
      </c>
      <c r="G64" s="5" t="s">
        <v>786</v>
      </c>
      <c r="H64" s="2">
        <v>28623</v>
      </c>
    </row>
    <row r="65" spans="5:8" ht="17.25">
      <c r="E65" s="2" t="s">
        <v>768</v>
      </c>
      <c r="F65" s="2">
        <v>28542</v>
      </c>
      <c r="G65" s="5" t="s">
        <v>787</v>
      </c>
      <c r="H65" s="2">
        <v>28621</v>
      </c>
    </row>
    <row r="66" spans="5:8" ht="17.25">
      <c r="E66" s="2" t="s">
        <v>766</v>
      </c>
      <c r="F66" s="2">
        <v>28543</v>
      </c>
      <c r="G66" s="5" t="s">
        <v>788</v>
      </c>
      <c r="H66" s="2">
        <v>28624</v>
      </c>
    </row>
    <row r="67" spans="5:8" ht="17.25">
      <c r="E67" s="2" t="s">
        <v>769</v>
      </c>
      <c r="F67" s="2">
        <v>28544</v>
      </c>
      <c r="G67" s="5" t="s">
        <v>789</v>
      </c>
      <c r="H67" s="2">
        <v>28622</v>
      </c>
    </row>
    <row r="68" spans="5:8" ht="17.25">
      <c r="E68" s="2" t="s">
        <v>762</v>
      </c>
      <c r="F68" s="2">
        <v>28561</v>
      </c>
      <c r="G68" s="5" t="s">
        <v>790</v>
      </c>
      <c r="H68" s="2">
        <v>28684</v>
      </c>
    </row>
    <row r="69" spans="5:8" ht="17.25">
      <c r="E69" s="2" t="s">
        <v>763</v>
      </c>
      <c r="F69" s="2">
        <v>28562</v>
      </c>
      <c r="G69" s="5" t="s">
        <v>791</v>
      </c>
      <c r="H69" s="2">
        <v>28685</v>
      </c>
    </row>
    <row r="70" spans="5:8" ht="17.25">
      <c r="E70" s="5" t="s">
        <v>792</v>
      </c>
      <c r="F70" s="2">
        <v>28581</v>
      </c>
      <c r="G70" s="5" t="s">
        <v>793</v>
      </c>
      <c r="H70" s="2">
        <v>28682</v>
      </c>
    </row>
    <row r="71" spans="5:8" ht="17.25">
      <c r="E71" s="5" t="s">
        <v>794</v>
      </c>
      <c r="F71" s="2">
        <v>28582</v>
      </c>
      <c r="G71" s="5" t="s">
        <v>795</v>
      </c>
      <c r="H71" s="2">
        <v>28681</v>
      </c>
    </row>
    <row r="72" spans="5:8" ht="17.25">
      <c r="E72" s="5" t="s">
        <v>796</v>
      </c>
      <c r="F72" s="2">
        <v>28583</v>
      </c>
      <c r="G72" s="5" t="s">
        <v>797</v>
      </c>
      <c r="H72" s="2">
        <v>28686</v>
      </c>
    </row>
    <row r="73" spans="5:8" ht="17.25">
      <c r="E73" s="5" t="s">
        <v>798</v>
      </c>
      <c r="F73" s="2">
        <v>28584</v>
      </c>
      <c r="G73" s="5" t="s">
        <v>799</v>
      </c>
      <c r="H73" s="2">
        <v>28683</v>
      </c>
    </row>
    <row r="74" spans="5:8" ht="17.25">
      <c r="E74" s="5" t="s">
        <v>800</v>
      </c>
      <c r="F74" s="2">
        <v>28601</v>
      </c>
      <c r="G74" s="5" t="s">
        <v>734</v>
      </c>
      <c r="H74" s="5">
        <v>28202</v>
      </c>
    </row>
    <row r="75" spans="5:8" ht="17.25">
      <c r="E75" s="5" t="s">
        <v>801</v>
      </c>
      <c r="F75" s="2">
        <v>28602</v>
      </c>
      <c r="G75" s="5" t="s">
        <v>798</v>
      </c>
      <c r="H75" s="2">
        <v>28584</v>
      </c>
    </row>
    <row r="76" spans="5:8" ht="17.25">
      <c r="E76" s="5" t="s">
        <v>802</v>
      </c>
      <c r="F76" s="2">
        <v>28603</v>
      </c>
      <c r="G76" s="5" t="s">
        <v>792</v>
      </c>
      <c r="H76" s="2">
        <v>28581</v>
      </c>
    </row>
    <row r="77" spans="5:8" ht="17.25">
      <c r="E77" s="5" t="s">
        <v>803</v>
      </c>
      <c r="F77" s="2">
        <v>28604</v>
      </c>
      <c r="G77" s="5" t="s">
        <v>796</v>
      </c>
      <c r="H77" s="2">
        <v>28583</v>
      </c>
    </row>
    <row r="78" spans="5:8" ht="17.25">
      <c r="E78" s="5" t="s">
        <v>787</v>
      </c>
      <c r="F78" s="2">
        <v>28621</v>
      </c>
      <c r="G78" s="5" t="s">
        <v>794</v>
      </c>
      <c r="H78" s="2">
        <v>28582</v>
      </c>
    </row>
    <row r="79" spans="5:8" ht="17.25">
      <c r="E79" s="5" t="s">
        <v>789</v>
      </c>
      <c r="F79" s="2">
        <v>28622</v>
      </c>
      <c r="G79" s="5" t="s">
        <v>765</v>
      </c>
      <c r="H79" s="5">
        <v>28321</v>
      </c>
    </row>
    <row r="80" spans="5:8" ht="17.25">
      <c r="E80" s="5" t="s">
        <v>786</v>
      </c>
      <c r="F80" s="2">
        <v>28623</v>
      </c>
      <c r="G80" s="5" t="s">
        <v>732</v>
      </c>
      <c r="H80" s="5">
        <v>28201</v>
      </c>
    </row>
    <row r="81" spans="5:8" ht="17.25">
      <c r="E81" s="5" t="s">
        <v>788</v>
      </c>
      <c r="F81" s="2">
        <v>28624</v>
      </c>
      <c r="G81" s="5" t="s">
        <v>804</v>
      </c>
      <c r="H81" s="2">
        <v>28645</v>
      </c>
    </row>
    <row r="82" spans="5:8" ht="17.25">
      <c r="E82" s="5" t="s">
        <v>805</v>
      </c>
      <c r="F82" s="2">
        <v>28641</v>
      </c>
      <c r="G82" s="5" t="s">
        <v>806</v>
      </c>
      <c r="H82" s="2">
        <v>28646</v>
      </c>
    </row>
    <row r="83" spans="5:8" ht="17.25">
      <c r="E83" s="5" t="s">
        <v>807</v>
      </c>
      <c r="F83" s="2">
        <v>28642</v>
      </c>
      <c r="G83" s="5" t="s">
        <v>808</v>
      </c>
      <c r="H83" s="2">
        <v>28644</v>
      </c>
    </row>
    <row r="84" spans="5:8" ht="17.25">
      <c r="E84" s="5" t="s">
        <v>809</v>
      </c>
      <c r="F84" s="2">
        <v>28643</v>
      </c>
      <c r="G84" s="5" t="s">
        <v>809</v>
      </c>
      <c r="H84" s="2">
        <v>28643</v>
      </c>
    </row>
    <row r="85" spans="5:8" ht="17.25">
      <c r="E85" s="5" t="s">
        <v>808</v>
      </c>
      <c r="F85" s="2">
        <v>28644</v>
      </c>
      <c r="G85" s="5" t="s">
        <v>805</v>
      </c>
      <c r="H85" s="2">
        <v>28641</v>
      </c>
    </row>
    <row r="86" spans="5:8" ht="17.25">
      <c r="E86" s="5" t="s">
        <v>804</v>
      </c>
      <c r="F86" s="2">
        <v>28645</v>
      </c>
      <c r="G86" s="5" t="s">
        <v>807</v>
      </c>
      <c r="H86" s="2">
        <v>28642</v>
      </c>
    </row>
    <row r="87" spans="5:8" ht="17.25">
      <c r="E87" s="5" t="s">
        <v>806</v>
      </c>
      <c r="F87" s="2">
        <v>28646</v>
      </c>
      <c r="G87" s="5" t="s">
        <v>755</v>
      </c>
      <c r="H87" s="5">
        <v>28214</v>
      </c>
    </row>
    <row r="88" spans="5:8" ht="17.25">
      <c r="E88" s="5" t="s">
        <v>795</v>
      </c>
      <c r="F88" s="2">
        <v>28681</v>
      </c>
      <c r="G88" s="5" t="s">
        <v>746</v>
      </c>
      <c r="H88" s="5">
        <v>28209</v>
      </c>
    </row>
    <row r="89" spans="5:8" ht="17.25">
      <c r="E89" s="5" t="s">
        <v>793</v>
      </c>
      <c r="F89" s="2">
        <v>28682</v>
      </c>
      <c r="G89" s="5" t="s">
        <v>736</v>
      </c>
      <c r="H89" s="5">
        <v>28203</v>
      </c>
    </row>
    <row r="90" spans="5:8" ht="17.25">
      <c r="E90" s="5" t="s">
        <v>799</v>
      </c>
      <c r="F90" s="2">
        <v>28683</v>
      </c>
      <c r="G90" s="5" t="s">
        <v>783</v>
      </c>
      <c r="H90" s="5">
        <v>28463</v>
      </c>
    </row>
    <row r="91" spans="5:8" ht="17.25">
      <c r="E91" s="5" t="s">
        <v>790</v>
      </c>
      <c r="F91" s="2">
        <v>28684</v>
      </c>
      <c r="G91" s="5" t="s">
        <v>781</v>
      </c>
      <c r="H91" s="5">
        <v>28461</v>
      </c>
    </row>
    <row r="92" spans="5:8" ht="17.25">
      <c r="E92" s="5" t="s">
        <v>791</v>
      </c>
      <c r="F92" s="2">
        <v>28685</v>
      </c>
      <c r="G92" s="2" t="s">
        <v>784</v>
      </c>
      <c r="H92" s="2">
        <v>28464</v>
      </c>
    </row>
    <row r="93" spans="5:8" ht="17.25">
      <c r="E93" s="5" t="s">
        <v>797</v>
      </c>
      <c r="F93" s="2">
        <v>28686</v>
      </c>
      <c r="G93" s="5" t="s">
        <v>782</v>
      </c>
      <c r="H93" s="5">
        <v>28462</v>
      </c>
    </row>
    <row r="94" spans="5:8" ht="17.25">
      <c r="E94" s="5" t="s">
        <v>747</v>
      </c>
      <c r="F94" s="2">
        <v>28701</v>
      </c>
      <c r="G94" s="5" t="s">
        <v>803</v>
      </c>
      <c r="H94" s="2">
        <v>28604</v>
      </c>
    </row>
    <row r="95" spans="5:8" ht="17.25">
      <c r="E95" s="5" t="s">
        <v>743</v>
      </c>
      <c r="F95" s="2">
        <v>28702</v>
      </c>
      <c r="G95" s="5" t="s">
        <v>802</v>
      </c>
      <c r="H95" s="2">
        <v>28603</v>
      </c>
    </row>
    <row r="96" spans="5:8" ht="17.25">
      <c r="E96" s="5" t="s">
        <v>742</v>
      </c>
      <c r="F96" s="2">
        <v>28703</v>
      </c>
      <c r="G96" s="5" t="s">
        <v>800</v>
      </c>
      <c r="H96" s="2">
        <v>28601</v>
      </c>
    </row>
    <row r="97" spans="5:8" ht="17.25">
      <c r="E97" s="5" t="s">
        <v>745</v>
      </c>
      <c r="F97" s="2">
        <v>28704</v>
      </c>
      <c r="G97" s="5" t="s">
        <v>801</v>
      </c>
      <c r="H97" s="2">
        <v>28602</v>
      </c>
    </row>
    <row r="98" spans="5:8" ht="17.25">
      <c r="E98" s="5" t="s">
        <v>760</v>
      </c>
      <c r="F98" s="2">
        <v>28820</v>
      </c>
      <c r="G98" s="5" t="s">
        <v>749</v>
      </c>
      <c r="H98" s="5">
        <v>28211</v>
      </c>
    </row>
  </sheetData>
  <sheetProtection/>
  <mergeCells count="3">
    <mergeCell ref="A7:A14"/>
    <mergeCell ref="A1:C1"/>
    <mergeCell ref="A5:A6"/>
  </mergeCells>
  <dataValidations count="2">
    <dataValidation allowBlank="1" showInputMessage="1" showErrorMessage="1" imeMode="halfAlpha" sqref="C17 B18 C14:C15"/>
    <dataValidation type="list" allowBlank="1" showInputMessage="1" showErrorMessage="1" sqref="C5">
      <formula1>$E$3:$E$98</formula1>
    </dataValidation>
  </dataValidation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&amp;R様式２</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AD125"/>
  <sheetViews>
    <sheetView tabSelected="1" workbookViewId="0" topLeftCell="A1">
      <pane ySplit="4" topLeftCell="BM5" activePane="bottomLeft" state="frozen"/>
      <selection pane="topLeft" activeCell="D11" sqref="D11"/>
      <selection pane="bottomLeft" activeCell="D8" sqref="D8"/>
    </sheetView>
  </sheetViews>
  <sheetFormatPr defaultColWidth="9.00390625" defaultRowHeight="13.5"/>
  <cols>
    <col min="1" max="1" width="4.375" style="124" customWidth="1"/>
    <col min="2" max="2" width="15.50390625" style="124" customWidth="1"/>
    <col min="3" max="3" width="13.625" style="124" customWidth="1"/>
    <col min="4" max="4" width="17.125" style="124" customWidth="1"/>
    <col min="5" max="5" width="13.375" style="124" customWidth="1"/>
    <col min="6" max="25" width="5.625" style="124" customWidth="1"/>
    <col min="26" max="16384" width="9.00390625" style="124" customWidth="1"/>
  </cols>
  <sheetData>
    <row r="1" spans="1:8" ht="14.25">
      <c r="A1" s="293" t="str">
        <f>"２．事業場別の特定自動車の状況（"&amp;LOOKUP('自動車台帳'!$F$1,実績報告年度,'自動車台帳'!$M$336:$M$339)&amp;"末）"</f>
        <v>２．事業場別の特定自動車の状況（平成14年度末）</v>
      </c>
      <c r="D1" s="293"/>
      <c r="H1" s="294"/>
    </row>
    <row r="2" spans="1:30" ht="13.5" customHeight="1">
      <c r="A2" s="373" t="s">
        <v>216</v>
      </c>
      <c r="B2" s="373" t="s">
        <v>262</v>
      </c>
      <c r="C2" s="373" t="s">
        <v>263</v>
      </c>
      <c r="D2" s="382"/>
      <c r="E2" s="373" t="s">
        <v>264</v>
      </c>
      <c r="F2" s="373" t="s">
        <v>265</v>
      </c>
      <c r="G2" s="373" t="s">
        <v>266</v>
      </c>
      <c r="H2" s="383" t="s">
        <v>267</v>
      </c>
      <c r="I2" s="382"/>
      <c r="J2" s="382"/>
      <c r="K2" s="382"/>
      <c r="L2" s="382"/>
      <c r="M2" s="382"/>
      <c r="N2" s="382"/>
      <c r="O2" s="382"/>
      <c r="P2" s="382"/>
      <c r="Q2" s="382"/>
      <c r="R2" s="382"/>
      <c r="S2" s="382"/>
      <c r="T2" s="382"/>
      <c r="U2" s="382"/>
      <c r="V2" s="382"/>
      <c r="W2" s="382"/>
      <c r="X2" s="382"/>
      <c r="Y2" s="382"/>
      <c r="AA2" s="4" t="s">
        <v>199</v>
      </c>
      <c r="AB2" s="4" t="s">
        <v>200</v>
      </c>
      <c r="AC2" s="4"/>
      <c r="AD2" s="4"/>
    </row>
    <row r="3" spans="1:30" ht="13.5" customHeight="1">
      <c r="A3" s="382"/>
      <c r="B3" s="382"/>
      <c r="C3" s="382"/>
      <c r="D3" s="382"/>
      <c r="E3" s="382"/>
      <c r="F3" s="382"/>
      <c r="G3" s="382"/>
      <c r="H3" s="373" t="s">
        <v>4</v>
      </c>
      <c r="I3" s="373"/>
      <c r="J3" s="373"/>
      <c r="K3" s="373"/>
      <c r="L3" s="373" t="s">
        <v>5</v>
      </c>
      <c r="M3" s="373"/>
      <c r="N3" s="373"/>
      <c r="O3" s="373"/>
      <c r="P3" s="373" t="s">
        <v>236</v>
      </c>
      <c r="Q3" s="373"/>
      <c r="R3" s="373"/>
      <c r="S3" s="373"/>
      <c r="T3" s="373" t="s">
        <v>6</v>
      </c>
      <c r="U3" s="373"/>
      <c r="V3" s="373"/>
      <c r="W3" s="373"/>
      <c r="X3" s="373" t="s">
        <v>7</v>
      </c>
      <c r="Y3" s="373" t="s">
        <v>230</v>
      </c>
      <c r="AA3" s="5" t="s">
        <v>714</v>
      </c>
      <c r="AB3" s="5">
        <v>28101</v>
      </c>
      <c r="AC3" s="5"/>
      <c r="AD3" s="5"/>
    </row>
    <row r="4" spans="1:30" ht="27.75" customHeight="1">
      <c r="A4" s="382"/>
      <c r="B4" s="382"/>
      <c r="C4" s="295" t="s">
        <v>713</v>
      </c>
      <c r="D4" s="295" t="s">
        <v>130</v>
      </c>
      <c r="E4" s="382"/>
      <c r="F4" s="382"/>
      <c r="G4" s="382"/>
      <c r="H4" s="248" t="s">
        <v>209</v>
      </c>
      <c r="I4" s="248" t="s">
        <v>210</v>
      </c>
      <c r="J4" s="248" t="s">
        <v>211</v>
      </c>
      <c r="K4" s="248" t="s">
        <v>212</v>
      </c>
      <c r="L4" s="248" t="s">
        <v>209</v>
      </c>
      <c r="M4" s="248" t="s">
        <v>210</v>
      </c>
      <c r="N4" s="248" t="s">
        <v>211</v>
      </c>
      <c r="O4" s="248" t="s">
        <v>212</v>
      </c>
      <c r="P4" s="248" t="s">
        <v>209</v>
      </c>
      <c r="Q4" s="248" t="s">
        <v>210</v>
      </c>
      <c r="R4" s="248" t="s">
        <v>211</v>
      </c>
      <c r="S4" s="248" t="s">
        <v>212</v>
      </c>
      <c r="T4" s="248" t="s">
        <v>209</v>
      </c>
      <c r="U4" s="248" t="s">
        <v>210</v>
      </c>
      <c r="V4" s="248" t="s">
        <v>211</v>
      </c>
      <c r="W4" s="248" t="s">
        <v>212</v>
      </c>
      <c r="X4" s="373"/>
      <c r="Y4" s="373"/>
      <c r="AA4" s="5" t="s">
        <v>716</v>
      </c>
      <c r="AB4" s="5">
        <v>28102</v>
      </c>
      <c r="AC4" s="5"/>
      <c r="AD4" s="5"/>
    </row>
    <row r="5" spans="1:30" ht="13.5" customHeight="1">
      <c r="A5" s="296">
        <v>1</v>
      </c>
      <c r="B5" s="161"/>
      <c r="C5" s="160"/>
      <c r="D5" s="161"/>
      <c r="E5" s="162"/>
      <c r="F5" s="344"/>
      <c r="G5" s="344"/>
      <c r="H5" s="297">
        <f aca="true" t="shared" si="0" ref="H5:H124">COUNTIF(総括表作成記号,CONCATENATE($A5,11))</f>
        <v>0</v>
      </c>
      <c r="I5" s="297">
        <f aca="true" t="shared" si="1" ref="I5:I124">COUNTIF(総括表作成記号,CONCATENATE($A5,12))</f>
        <v>0</v>
      </c>
      <c r="J5" s="297">
        <f aca="true" t="shared" si="2" ref="J5:J124">COUNTIF(総括表作成記号,CONCATENATE($A5,13))</f>
        <v>0</v>
      </c>
      <c r="K5" s="297">
        <f aca="true" t="shared" si="3" ref="K5:K124">COUNTIF(総括表作成記号,CONCATENATE($A5,14))</f>
        <v>0</v>
      </c>
      <c r="L5" s="297">
        <f aca="true" t="shared" si="4" ref="L5:L124">COUNTIF(総括表作成記号,CONCATENATE($A5,21))</f>
        <v>0</v>
      </c>
      <c r="M5" s="297">
        <f aca="true" t="shared" si="5" ref="M5:M124">COUNTIF(総括表作成記号,CONCATENATE($A5,22))</f>
        <v>0</v>
      </c>
      <c r="N5" s="297">
        <f aca="true" t="shared" si="6" ref="N5:N124">COUNTIF(総括表作成記号,CONCATENATE($A5,23))</f>
        <v>0</v>
      </c>
      <c r="O5" s="297">
        <f aca="true" t="shared" si="7" ref="O5:O124">COUNTIF(総括表作成記号,CONCATENATE($A5,24))</f>
        <v>0</v>
      </c>
      <c r="P5" s="297">
        <f aca="true" t="shared" si="8" ref="P5:P124">COUNTIF(総括表作成記号,CONCATENATE($A5,31))</f>
        <v>0</v>
      </c>
      <c r="Q5" s="297">
        <f aca="true" t="shared" si="9" ref="Q5:Q124">COUNTIF(総括表作成記号,CONCATENATE($A5,32))</f>
        <v>0</v>
      </c>
      <c r="R5" s="297">
        <f aca="true" t="shared" si="10" ref="R5:R124">COUNTIF(総括表作成記号,CONCATENATE($A5,33))</f>
        <v>0</v>
      </c>
      <c r="S5" s="297">
        <f aca="true" t="shared" si="11" ref="S5:S124">COUNTIF(総括表作成記号,CONCATENATE($A5,34))</f>
        <v>0</v>
      </c>
      <c r="T5" s="297">
        <f aca="true" t="shared" si="12" ref="T5:T124">COUNTIF(総括表作成記号,CONCATENATE($A5,51))+COUNTIF(総括表作成記号,CONCATENATE($A5,61))+COUNTIF(総括表作成記号,CONCATENATE($A5,71))+COUNTIF(総括表作成記号,CONCATENATE($A5,81))</f>
        <v>0</v>
      </c>
      <c r="U5" s="297">
        <f aca="true" t="shared" si="13" ref="U5:U124">COUNTIF(総括表作成記号,CONCATENATE($A5,52))+COUNTIF(総括表作成記号,CONCATENATE($A5,62))+COUNTIF(総括表作成記号,CONCATENATE($A5,72))+COUNTIF(総括表作成記号,CONCATENATE($A5,82))</f>
        <v>0</v>
      </c>
      <c r="V5" s="297">
        <f aca="true" t="shared" si="14" ref="V5:V124">COUNTIF(総括表作成記号,CONCATENATE($A5,53))+COUNTIF(総括表作成記号,CONCATENATE($A5,63))+COUNTIF(総括表作成記号,CONCATENATE($A5,73))+COUNTIF(総括表作成記号,CONCATENATE($A5,83))</f>
        <v>0</v>
      </c>
      <c r="W5" s="297">
        <f aca="true" t="shared" si="15" ref="W5:W124">COUNTIF(総括表作成記号,CONCATENATE($A5,54))+COUNTIF(総括表作成記号,CONCATENATE($A5,64))+COUNTIF(総括表作成記号,CONCATENATE($A5,74))+COUNTIF(総括表作成記号,CONCATENATE($A5,84))</f>
        <v>0</v>
      </c>
      <c r="X5" s="297">
        <f aca="true" t="shared" si="16" ref="X5:X124">COUNTIF(総括表作成記号,CONCATENATE($A5,40))</f>
        <v>0</v>
      </c>
      <c r="Y5" s="297">
        <f aca="true" t="shared" si="17" ref="Y5:Y40">SUM(H5:X5)</f>
        <v>0</v>
      </c>
      <c r="AA5" s="5" t="s">
        <v>718</v>
      </c>
      <c r="AB5" s="5">
        <v>28105</v>
      </c>
      <c r="AC5" s="5"/>
      <c r="AD5" s="5"/>
    </row>
    <row r="6" spans="1:30" ht="13.5" customHeight="1">
      <c r="A6" s="296">
        <v>2</v>
      </c>
      <c r="B6" s="161"/>
      <c r="C6" s="160"/>
      <c r="D6" s="161"/>
      <c r="E6" s="162"/>
      <c r="F6" s="344"/>
      <c r="G6" s="344"/>
      <c r="H6" s="297">
        <f t="shared" si="0"/>
        <v>0</v>
      </c>
      <c r="I6" s="297">
        <f t="shared" si="1"/>
        <v>0</v>
      </c>
      <c r="J6" s="297">
        <f t="shared" si="2"/>
        <v>0</v>
      </c>
      <c r="K6" s="297">
        <f t="shared" si="3"/>
        <v>0</v>
      </c>
      <c r="L6" s="297">
        <f t="shared" si="4"/>
        <v>0</v>
      </c>
      <c r="M6" s="297">
        <f t="shared" si="5"/>
        <v>0</v>
      </c>
      <c r="N6" s="297">
        <f t="shared" si="6"/>
        <v>0</v>
      </c>
      <c r="O6" s="297">
        <f t="shared" si="7"/>
        <v>0</v>
      </c>
      <c r="P6" s="297">
        <f t="shared" si="8"/>
        <v>0</v>
      </c>
      <c r="Q6" s="297">
        <f t="shared" si="9"/>
        <v>0</v>
      </c>
      <c r="R6" s="297">
        <f t="shared" si="10"/>
        <v>0</v>
      </c>
      <c r="S6" s="297">
        <f t="shared" si="11"/>
        <v>0</v>
      </c>
      <c r="T6" s="297">
        <f t="shared" si="12"/>
        <v>0</v>
      </c>
      <c r="U6" s="297">
        <f t="shared" si="13"/>
        <v>0</v>
      </c>
      <c r="V6" s="297">
        <f t="shared" si="14"/>
        <v>0</v>
      </c>
      <c r="W6" s="297">
        <f t="shared" si="15"/>
        <v>0</v>
      </c>
      <c r="X6" s="297">
        <f t="shared" si="16"/>
        <v>0</v>
      </c>
      <c r="Y6" s="297">
        <f t="shared" si="17"/>
        <v>0</v>
      </c>
      <c r="AA6" s="5" t="s">
        <v>720</v>
      </c>
      <c r="AB6" s="5">
        <v>28106</v>
      </c>
      <c r="AC6" s="5"/>
      <c r="AD6" s="5"/>
    </row>
    <row r="7" spans="1:30" ht="13.5" customHeight="1">
      <c r="A7" s="296">
        <v>3</v>
      </c>
      <c r="B7" s="161"/>
      <c r="C7" s="160"/>
      <c r="D7" s="161"/>
      <c r="E7" s="162"/>
      <c r="F7" s="344"/>
      <c r="G7" s="344"/>
      <c r="H7" s="297">
        <f t="shared" si="0"/>
        <v>0</v>
      </c>
      <c r="I7" s="297">
        <f t="shared" si="1"/>
        <v>0</v>
      </c>
      <c r="J7" s="297">
        <f t="shared" si="2"/>
        <v>0</v>
      </c>
      <c r="K7" s="297">
        <f t="shared" si="3"/>
        <v>0</v>
      </c>
      <c r="L7" s="297">
        <f t="shared" si="4"/>
        <v>0</v>
      </c>
      <c r="M7" s="297">
        <f t="shared" si="5"/>
        <v>0</v>
      </c>
      <c r="N7" s="297">
        <f t="shared" si="6"/>
        <v>0</v>
      </c>
      <c r="O7" s="297">
        <f t="shared" si="7"/>
        <v>0</v>
      </c>
      <c r="P7" s="297">
        <f t="shared" si="8"/>
        <v>0</v>
      </c>
      <c r="Q7" s="297">
        <f t="shared" si="9"/>
        <v>0</v>
      </c>
      <c r="R7" s="297">
        <f t="shared" si="10"/>
        <v>0</v>
      </c>
      <c r="S7" s="297">
        <f t="shared" si="11"/>
        <v>0</v>
      </c>
      <c r="T7" s="297">
        <f t="shared" si="12"/>
        <v>0</v>
      </c>
      <c r="U7" s="297">
        <f t="shared" si="13"/>
        <v>0</v>
      </c>
      <c r="V7" s="297">
        <f t="shared" si="14"/>
        <v>0</v>
      </c>
      <c r="W7" s="297">
        <f t="shared" si="15"/>
        <v>0</v>
      </c>
      <c r="X7" s="297">
        <f t="shared" si="16"/>
        <v>0</v>
      </c>
      <c r="Y7" s="297">
        <f t="shared" si="17"/>
        <v>0</v>
      </c>
      <c r="AA7" s="5" t="s">
        <v>722</v>
      </c>
      <c r="AB7" s="5">
        <v>28107</v>
      </c>
      <c r="AC7" s="5"/>
      <c r="AD7" s="5"/>
    </row>
    <row r="8" spans="1:30" ht="13.5" customHeight="1">
      <c r="A8" s="296">
        <v>4</v>
      </c>
      <c r="B8" s="161"/>
      <c r="C8" s="160"/>
      <c r="D8" s="161"/>
      <c r="E8" s="162"/>
      <c r="F8" s="344"/>
      <c r="G8" s="344"/>
      <c r="H8" s="297">
        <f t="shared" si="0"/>
        <v>0</v>
      </c>
      <c r="I8" s="297">
        <f t="shared" si="1"/>
        <v>0</v>
      </c>
      <c r="J8" s="297">
        <f t="shared" si="2"/>
        <v>0</v>
      </c>
      <c r="K8" s="297">
        <f t="shared" si="3"/>
        <v>0</v>
      </c>
      <c r="L8" s="297">
        <f t="shared" si="4"/>
        <v>0</v>
      </c>
      <c r="M8" s="297">
        <f t="shared" si="5"/>
        <v>0</v>
      </c>
      <c r="N8" s="297">
        <f t="shared" si="6"/>
        <v>0</v>
      </c>
      <c r="O8" s="297">
        <f t="shared" si="7"/>
        <v>0</v>
      </c>
      <c r="P8" s="297">
        <f t="shared" si="8"/>
        <v>0</v>
      </c>
      <c r="Q8" s="297">
        <f t="shared" si="9"/>
        <v>0</v>
      </c>
      <c r="R8" s="297">
        <f t="shared" si="10"/>
        <v>0</v>
      </c>
      <c r="S8" s="297">
        <f t="shared" si="11"/>
        <v>0</v>
      </c>
      <c r="T8" s="297">
        <f t="shared" si="12"/>
        <v>0</v>
      </c>
      <c r="U8" s="297">
        <f t="shared" si="13"/>
        <v>0</v>
      </c>
      <c r="V8" s="297">
        <f t="shared" si="14"/>
        <v>0</v>
      </c>
      <c r="W8" s="297">
        <f t="shared" si="15"/>
        <v>0</v>
      </c>
      <c r="X8" s="297">
        <f t="shared" si="16"/>
        <v>0</v>
      </c>
      <c r="Y8" s="297">
        <f t="shared" si="17"/>
        <v>0</v>
      </c>
      <c r="AA8" s="5" t="s">
        <v>724</v>
      </c>
      <c r="AB8" s="5">
        <v>28108</v>
      </c>
      <c r="AC8" s="5"/>
      <c r="AD8" s="5"/>
    </row>
    <row r="9" spans="1:30" ht="13.5" customHeight="1">
      <c r="A9" s="296">
        <v>5</v>
      </c>
      <c r="B9" s="161"/>
      <c r="C9" s="160"/>
      <c r="D9" s="161"/>
      <c r="E9" s="162"/>
      <c r="F9" s="344"/>
      <c r="G9" s="344"/>
      <c r="H9" s="297">
        <f t="shared" si="0"/>
        <v>0</v>
      </c>
      <c r="I9" s="297">
        <f t="shared" si="1"/>
        <v>0</v>
      </c>
      <c r="J9" s="297">
        <f t="shared" si="2"/>
        <v>0</v>
      </c>
      <c r="K9" s="297">
        <f t="shared" si="3"/>
        <v>0</v>
      </c>
      <c r="L9" s="297">
        <f t="shared" si="4"/>
        <v>0</v>
      </c>
      <c r="M9" s="297">
        <f t="shared" si="5"/>
        <v>0</v>
      </c>
      <c r="N9" s="297">
        <f t="shared" si="6"/>
        <v>0</v>
      </c>
      <c r="O9" s="297">
        <f t="shared" si="7"/>
        <v>0</v>
      </c>
      <c r="P9" s="297">
        <f t="shared" si="8"/>
        <v>0</v>
      </c>
      <c r="Q9" s="297">
        <f t="shared" si="9"/>
        <v>0</v>
      </c>
      <c r="R9" s="297">
        <f t="shared" si="10"/>
        <v>0</v>
      </c>
      <c r="S9" s="297">
        <f t="shared" si="11"/>
        <v>0</v>
      </c>
      <c r="T9" s="297">
        <f t="shared" si="12"/>
        <v>0</v>
      </c>
      <c r="U9" s="297">
        <f t="shared" si="13"/>
        <v>0</v>
      </c>
      <c r="V9" s="297">
        <f t="shared" si="14"/>
        <v>0</v>
      </c>
      <c r="W9" s="297">
        <f t="shared" si="15"/>
        <v>0</v>
      </c>
      <c r="X9" s="297">
        <f t="shared" si="16"/>
        <v>0</v>
      </c>
      <c r="Y9" s="297">
        <f t="shared" si="17"/>
        <v>0</v>
      </c>
      <c r="AA9" s="5" t="s">
        <v>726</v>
      </c>
      <c r="AB9" s="5">
        <v>28109</v>
      </c>
      <c r="AC9" s="5"/>
      <c r="AD9" s="5"/>
    </row>
    <row r="10" spans="1:30" ht="13.5" customHeight="1">
      <c r="A10" s="296">
        <v>6</v>
      </c>
      <c r="B10" s="161"/>
      <c r="C10" s="160"/>
      <c r="D10" s="161"/>
      <c r="E10" s="162"/>
      <c r="F10" s="344"/>
      <c r="G10" s="344"/>
      <c r="H10" s="297">
        <f t="shared" si="0"/>
        <v>0</v>
      </c>
      <c r="I10" s="297">
        <f t="shared" si="1"/>
        <v>0</v>
      </c>
      <c r="J10" s="297">
        <f t="shared" si="2"/>
        <v>0</v>
      </c>
      <c r="K10" s="297">
        <f t="shared" si="3"/>
        <v>0</v>
      </c>
      <c r="L10" s="297">
        <f t="shared" si="4"/>
        <v>0</v>
      </c>
      <c r="M10" s="297">
        <f t="shared" si="5"/>
        <v>0</v>
      </c>
      <c r="N10" s="297">
        <f t="shared" si="6"/>
        <v>0</v>
      </c>
      <c r="O10" s="297">
        <f t="shared" si="7"/>
        <v>0</v>
      </c>
      <c r="P10" s="297">
        <f t="shared" si="8"/>
        <v>0</v>
      </c>
      <c r="Q10" s="297">
        <f t="shared" si="9"/>
        <v>0</v>
      </c>
      <c r="R10" s="297">
        <f t="shared" si="10"/>
        <v>0</v>
      </c>
      <c r="S10" s="297">
        <f t="shared" si="11"/>
        <v>0</v>
      </c>
      <c r="T10" s="297">
        <f t="shared" si="12"/>
        <v>0</v>
      </c>
      <c r="U10" s="297">
        <f t="shared" si="13"/>
        <v>0</v>
      </c>
      <c r="V10" s="297">
        <f t="shared" si="14"/>
        <v>0</v>
      </c>
      <c r="W10" s="297">
        <f t="shared" si="15"/>
        <v>0</v>
      </c>
      <c r="X10" s="297">
        <f t="shared" si="16"/>
        <v>0</v>
      </c>
      <c r="Y10" s="297">
        <f t="shared" si="17"/>
        <v>0</v>
      </c>
      <c r="AA10" s="5" t="s">
        <v>728</v>
      </c>
      <c r="AB10" s="5">
        <v>28110</v>
      </c>
      <c r="AC10" s="5"/>
      <c r="AD10" s="5"/>
    </row>
    <row r="11" spans="1:30" ht="13.5" customHeight="1">
      <c r="A11" s="296">
        <v>7</v>
      </c>
      <c r="B11" s="161"/>
      <c r="C11" s="160"/>
      <c r="D11" s="161"/>
      <c r="E11" s="162"/>
      <c r="F11" s="344"/>
      <c r="G11" s="344"/>
      <c r="H11" s="297">
        <f t="shared" si="0"/>
        <v>0</v>
      </c>
      <c r="I11" s="297">
        <f t="shared" si="1"/>
        <v>0</v>
      </c>
      <c r="J11" s="297">
        <f t="shared" si="2"/>
        <v>0</v>
      </c>
      <c r="K11" s="297">
        <f t="shared" si="3"/>
        <v>0</v>
      </c>
      <c r="L11" s="297">
        <f t="shared" si="4"/>
        <v>0</v>
      </c>
      <c r="M11" s="297">
        <f t="shared" si="5"/>
        <v>0</v>
      </c>
      <c r="N11" s="297">
        <f t="shared" si="6"/>
        <v>0</v>
      </c>
      <c r="O11" s="297">
        <f t="shared" si="7"/>
        <v>0</v>
      </c>
      <c r="P11" s="297">
        <f t="shared" si="8"/>
        <v>0</v>
      </c>
      <c r="Q11" s="297">
        <f t="shared" si="9"/>
        <v>0</v>
      </c>
      <c r="R11" s="297">
        <f t="shared" si="10"/>
        <v>0</v>
      </c>
      <c r="S11" s="297">
        <f t="shared" si="11"/>
        <v>0</v>
      </c>
      <c r="T11" s="297">
        <f t="shared" si="12"/>
        <v>0</v>
      </c>
      <c r="U11" s="297">
        <f t="shared" si="13"/>
        <v>0</v>
      </c>
      <c r="V11" s="297">
        <f t="shared" si="14"/>
        <v>0</v>
      </c>
      <c r="W11" s="297">
        <f t="shared" si="15"/>
        <v>0</v>
      </c>
      <c r="X11" s="297">
        <f t="shared" si="16"/>
        <v>0</v>
      </c>
      <c r="Y11" s="297">
        <f t="shared" si="17"/>
        <v>0</v>
      </c>
      <c r="AA11" s="5" t="s">
        <v>730</v>
      </c>
      <c r="AB11" s="5">
        <v>28111</v>
      </c>
      <c r="AC11" s="5"/>
      <c r="AD11" s="5"/>
    </row>
    <row r="12" spans="1:30" ht="13.5" customHeight="1">
      <c r="A12" s="296">
        <v>8</v>
      </c>
      <c r="B12" s="161"/>
      <c r="C12" s="160"/>
      <c r="D12" s="161"/>
      <c r="E12" s="162"/>
      <c r="F12" s="344"/>
      <c r="G12" s="344"/>
      <c r="H12" s="297">
        <f t="shared" si="0"/>
        <v>0</v>
      </c>
      <c r="I12" s="297">
        <f t="shared" si="1"/>
        <v>0</v>
      </c>
      <c r="J12" s="297">
        <f t="shared" si="2"/>
        <v>0</v>
      </c>
      <c r="K12" s="297">
        <f t="shared" si="3"/>
        <v>0</v>
      </c>
      <c r="L12" s="297">
        <f t="shared" si="4"/>
        <v>0</v>
      </c>
      <c r="M12" s="297">
        <f t="shared" si="5"/>
        <v>0</v>
      </c>
      <c r="N12" s="297">
        <f t="shared" si="6"/>
        <v>0</v>
      </c>
      <c r="O12" s="297">
        <f t="shared" si="7"/>
        <v>0</v>
      </c>
      <c r="P12" s="297">
        <f t="shared" si="8"/>
        <v>0</v>
      </c>
      <c r="Q12" s="297">
        <f t="shared" si="9"/>
        <v>0</v>
      </c>
      <c r="R12" s="297">
        <f t="shared" si="10"/>
        <v>0</v>
      </c>
      <c r="S12" s="297">
        <f t="shared" si="11"/>
        <v>0</v>
      </c>
      <c r="T12" s="297">
        <f t="shared" si="12"/>
        <v>0</v>
      </c>
      <c r="U12" s="297">
        <f t="shared" si="13"/>
        <v>0</v>
      </c>
      <c r="V12" s="297">
        <f t="shared" si="14"/>
        <v>0</v>
      </c>
      <c r="W12" s="297">
        <f t="shared" si="15"/>
        <v>0</v>
      </c>
      <c r="X12" s="297">
        <f t="shared" si="16"/>
        <v>0</v>
      </c>
      <c r="Y12" s="297">
        <f t="shared" si="17"/>
        <v>0</v>
      </c>
      <c r="AA12" s="5" t="s">
        <v>732</v>
      </c>
      <c r="AB12" s="5">
        <v>28201</v>
      </c>
      <c r="AC12" s="5"/>
      <c r="AD12" s="5"/>
    </row>
    <row r="13" spans="1:30" ht="13.5" customHeight="1">
      <c r="A13" s="296">
        <v>9</v>
      </c>
      <c r="B13" s="161"/>
      <c r="C13" s="160"/>
      <c r="D13" s="161"/>
      <c r="E13" s="162"/>
      <c r="F13" s="344"/>
      <c r="G13" s="344"/>
      <c r="H13" s="297">
        <f t="shared" si="0"/>
        <v>0</v>
      </c>
      <c r="I13" s="297">
        <f t="shared" si="1"/>
        <v>0</v>
      </c>
      <c r="J13" s="297">
        <f t="shared" si="2"/>
        <v>0</v>
      </c>
      <c r="K13" s="297">
        <f t="shared" si="3"/>
        <v>0</v>
      </c>
      <c r="L13" s="297">
        <f t="shared" si="4"/>
        <v>0</v>
      </c>
      <c r="M13" s="297">
        <f t="shared" si="5"/>
        <v>0</v>
      </c>
      <c r="N13" s="297">
        <f t="shared" si="6"/>
        <v>0</v>
      </c>
      <c r="O13" s="297">
        <f t="shared" si="7"/>
        <v>0</v>
      </c>
      <c r="P13" s="297">
        <f t="shared" si="8"/>
        <v>0</v>
      </c>
      <c r="Q13" s="297">
        <f t="shared" si="9"/>
        <v>0</v>
      </c>
      <c r="R13" s="297">
        <f t="shared" si="10"/>
        <v>0</v>
      </c>
      <c r="S13" s="297">
        <f t="shared" si="11"/>
        <v>0</v>
      </c>
      <c r="T13" s="297">
        <f t="shared" si="12"/>
        <v>0</v>
      </c>
      <c r="U13" s="297">
        <f t="shared" si="13"/>
        <v>0</v>
      </c>
      <c r="V13" s="297">
        <f t="shared" si="14"/>
        <v>0</v>
      </c>
      <c r="W13" s="297">
        <f t="shared" si="15"/>
        <v>0</v>
      </c>
      <c r="X13" s="297">
        <f t="shared" si="16"/>
        <v>0</v>
      </c>
      <c r="Y13" s="297">
        <f t="shared" si="17"/>
        <v>0</v>
      </c>
      <c r="AA13" s="5" t="s">
        <v>734</v>
      </c>
      <c r="AB13" s="5">
        <v>28202</v>
      </c>
      <c r="AC13" s="5"/>
      <c r="AD13" s="5"/>
    </row>
    <row r="14" spans="1:30" ht="13.5" customHeight="1">
      <c r="A14" s="296">
        <v>10</v>
      </c>
      <c r="B14" s="161"/>
      <c r="C14" s="160"/>
      <c r="D14" s="161"/>
      <c r="E14" s="162"/>
      <c r="F14" s="344"/>
      <c r="G14" s="344"/>
      <c r="H14" s="297">
        <f t="shared" si="0"/>
        <v>0</v>
      </c>
      <c r="I14" s="297">
        <f t="shared" si="1"/>
        <v>0</v>
      </c>
      <c r="J14" s="297">
        <f t="shared" si="2"/>
        <v>0</v>
      </c>
      <c r="K14" s="297">
        <f t="shared" si="3"/>
        <v>0</v>
      </c>
      <c r="L14" s="297">
        <f t="shared" si="4"/>
        <v>0</v>
      </c>
      <c r="M14" s="297">
        <f t="shared" si="5"/>
        <v>0</v>
      </c>
      <c r="N14" s="297">
        <f t="shared" si="6"/>
        <v>0</v>
      </c>
      <c r="O14" s="297">
        <f t="shared" si="7"/>
        <v>0</v>
      </c>
      <c r="P14" s="297">
        <f t="shared" si="8"/>
        <v>0</v>
      </c>
      <c r="Q14" s="297">
        <f t="shared" si="9"/>
        <v>0</v>
      </c>
      <c r="R14" s="297">
        <f t="shared" si="10"/>
        <v>0</v>
      </c>
      <c r="S14" s="297">
        <f t="shared" si="11"/>
        <v>0</v>
      </c>
      <c r="T14" s="297">
        <f t="shared" si="12"/>
        <v>0</v>
      </c>
      <c r="U14" s="297">
        <f t="shared" si="13"/>
        <v>0</v>
      </c>
      <c r="V14" s="297">
        <f t="shared" si="14"/>
        <v>0</v>
      </c>
      <c r="W14" s="297">
        <f t="shared" si="15"/>
        <v>0</v>
      </c>
      <c r="X14" s="297">
        <f t="shared" si="16"/>
        <v>0</v>
      </c>
      <c r="Y14" s="297">
        <f t="shared" si="17"/>
        <v>0</v>
      </c>
      <c r="AA14" s="5" t="s">
        <v>736</v>
      </c>
      <c r="AB14" s="5">
        <v>28203</v>
      </c>
      <c r="AC14" s="5"/>
      <c r="AD14" s="5"/>
    </row>
    <row r="15" spans="1:30" ht="13.5" customHeight="1">
      <c r="A15" s="296">
        <v>11</v>
      </c>
      <c r="B15" s="161"/>
      <c r="C15" s="160"/>
      <c r="D15" s="161"/>
      <c r="E15" s="162"/>
      <c r="F15" s="344"/>
      <c r="G15" s="344"/>
      <c r="H15" s="297">
        <f t="shared" si="0"/>
        <v>0</v>
      </c>
      <c r="I15" s="297">
        <f t="shared" si="1"/>
        <v>0</v>
      </c>
      <c r="J15" s="297">
        <f t="shared" si="2"/>
        <v>0</v>
      </c>
      <c r="K15" s="297">
        <f t="shared" si="3"/>
        <v>0</v>
      </c>
      <c r="L15" s="297">
        <f t="shared" si="4"/>
        <v>0</v>
      </c>
      <c r="M15" s="297">
        <f t="shared" si="5"/>
        <v>0</v>
      </c>
      <c r="N15" s="297">
        <f t="shared" si="6"/>
        <v>0</v>
      </c>
      <c r="O15" s="297">
        <f t="shared" si="7"/>
        <v>0</v>
      </c>
      <c r="P15" s="297">
        <f t="shared" si="8"/>
        <v>0</v>
      </c>
      <c r="Q15" s="297">
        <f t="shared" si="9"/>
        <v>0</v>
      </c>
      <c r="R15" s="297">
        <f t="shared" si="10"/>
        <v>0</v>
      </c>
      <c r="S15" s="297">
        <f t="shared" si="11"/>
        <v>0</v>
      </c>
      <c r="T15" s="297">
        <f t="shared" si="12"/>
        <v>0</v>
      </c>
      <c r="U15" s="297">
        <f t="shared" si="13"/>
        <v>0</v>
      </c>
      <c r="V15" s="297">
        <f t="shared" si="14"/>
        <v>0</v>
      </c>
      <c r="W15" s="297">
        <f t="shared" si="15"/>
        <v>0</v>
      </c>
      <c r="X15" s="297">
        <f t="shared" si="16"/>
        <v>0</v>
      </c>
      <c r="Y15" s="297">
        <f t="shared" si="17"/>
        <v>0</v>
      </c>
      <c r="AA15" s="5" t="s">
        <v>738</v>
      </c>
      <c r="AB15" s="5">
        <v>28204</v>
      </c>
      <c r="AC15" s="5"/>
      <c r="AD15" s="5"/>
    </row>
    <row r="16" spans="1:30" ht="13.5" customHeight="1">
      <c r="A16" s="296">
        <v>12</v>
      </c>
      <c r="B16" s="161"/>
      <c r="C16" s="160"/>
      <c r="D16" s="161"/>
      <c r="E16" s="162"/>
      <c r="F16" s="344"/>
      <c r="G16" s="344"/>
      <c r="H16" s="297">
        <f t="shared" si="0"/>
        <v>0</v>
      </c>
      <c r="I16" s="297">
        <f t="shared" si="1"/>
        <v>0</v>
      </c>
      <c r="J16" s="297">
        <f t="shared" si="2"/>
        <v>0</v>
      </c>
      <c r="K16" s="297">
        <f t="shared" si="3"/>
        <v>0</v>
      </c>
      <c r="L16" s="297">
        <f t="shared" si="4"/>
        <v>0</v>
      </c>
      <c r="M16" s="297">
        <f t="shared" si="5"/>
        <v>0</v>
      </c>
      <c r="N16" s="297">
        <f t="shared" si="6"/>
        <v>0</v>
      </c>
      <c r="O16" s="297">
        <f t="shared" si="7"/>
        <v>0</v>
      </c>
      <c r="P16" s="297">
        <f t="shared" si="8"/>
        <v>0</v>
      </c>
      <c r="Q16" s="297">
        <f t="shared" si="9"/>
        <v>0</v>
      </c>
      <c r="R16" s="297">
        <f t="shared" si="10"/>
        <v>0</v>
      </c>
      <c r="S16" s="297">
        <f t="shared" si="11"/>
        <v>0</v>
      </c>
      <c r="T16" s="297">
        <f t="shared" si="12"/>
        <v>0</v>
      </c>
      <c r="U16" s="297">
        <f t="shared" si="13"/>
        <v>0</v>
      </c>
      <c r="V16" s="297">
        <f t="shared" si="14"/>
        <v>0</v>
      </c>
      <c r="W16" s="297">
        <f t="shared" si="15"/>
        <v>0</v>
      </c>
      <c r="X16" s="297">
        <f t="shared" si="16"/>
        <v>0</v>
      </c>
      <c r="Y16" s="297">
        <f t="shared" si="17"/>
        <v>0</v>
      </c>
      <c r="AA16" s="5" t="s">
        <v>715</v>
      </c>
      <c r="AB16" s="5">
        <v>28206</v>
      </c>
      <c r="AC16" s="5"/>
      <c r="AD16" s="5"/>
    </row>
    <row r="17" spans="1:30" ht="13.5" customHeight="1">
      <c r="A17" s="296">
        <v>13</v>
      </c>
      <c r="B17" s="161"/>
      <c r="C17" s="160"/>
      <c r="D17" s="161"/>
      <c r="E17" s="162"/>
      <c r="F17" s="344"/>
      <c r="G17" s="344"/>
      <c r="H17" s="297">
        <f t="shared" si="0"/>
        <v>0</v>
      </c>
      <c r="I17" s="297">
        <f t="shared" si="1"/>
        <v>0</v>
      </c>
      <c r="J17" s="297">
        <f t="shared" si="2"/>
        <v>0</v>
      </c>
      <c r="K17" s="297">
        <f t="shared" si="3"/>
        <v>0</v>
      </c>
      <c r="L17" s="297">
        <f t="shared" si="4"/>
        <v>0</v>
      </c>
      <c r="M17" s="297">
        <f t="shared" si="5"/>
        <v>0</v>
      </c>
      <c r="N17" s="297">
        <f t="shared" si="6"/>
        <v>0</v>
      </c>
      <c r="O17" s="297">
        <f t="shared" si="7"/>
        <v>0</v>
      </c>
      <c r="P17" s="297">
        <f t="shared" si="8"/>
        <v>0</v>
      </c>
      <c r="Q17" s="297">
        <f t="shared" si="9"/>
        <v>0</v>
      </c>
      <c r="R17" s="297">
        <f t="shared" si="10"/>
        <v>0</v>
      </c>
      <c r="S17" s="297">
        <f t="shared" si="11"/>
        <v>0</v>
      </c>
      <c r="T17" s="297">
        <f t="shared" si="12"/>
        <v>0</v>
      </c>
      <c r="U17" s="297">
        <f t="shared" si="13"/>
        <v>0</v>
      </c>
      <c r="V17" s="297">
        <f t="shared" si="14"/>
        <v>0</v>
      </c>
      <c r="W17" s="297">
        <f t="shared" si="15"/>
        <v>0</v>
      </c>
      <c r="X17" s="297">
        <f t="shared" si="16"/>
        <v>0</v>
      </c>
      <c r="Y17" s="297">
        <f t="shared" si="17"/>
        <v>0</v>
      </c>
      <c r="AA17" s="5" t="s">
        <v>717</v>
      </c>
      <c r="AB17" s="5">
        <v>28207</v>
      </c>
      <c r="AC17" s="5"/>
      <c r="AD17" s="5"/>
    </row>
    <row r="18" spans="1:30" ht="13.5" customHeight="1">
      <c r="A18" s="296">
        <v>14</v>
      </c>
      <c r="B18" s="161"/>
      <c r="C18" s="160"/>
      <c r="D18" s="161"/>
      <c r="E18" s="162"/>
      <c r="F18" s="344"/>
      <c r="G18" s="344"/>
      <c r="H18" s="297">
        <f t="shared" si="0"/>
        <v>0</v>
      </c>
      <c r="I18" s="297">
        <f t="shared" si="1"/>
        <v>0</v>
      </c>
      <c r="J18" s="297">
        <f t="shared" si="2"/>
        <v>0</v>
      </c>
      <c r="K18" s="297">
        <f t="shared" si="3"/>
        <v>0</v>
      </c>
      <c r="L18" s="297">
        <f t="shared" si="4"/>
        <v>0</v>
      </c>
      <c r="M18" s="297">
        <f t="shared" si="5"/>
        <v>0</v>
      </c>
      <c r="N18" s="297">
        <f t="shared" si="6"/>
        <v>0</v>
      </c>
      <c r="O18" s="297">
        <f t="shared" si="7"/>
        <v>0</v>
      </c>
      <c r="P18" s="297">
        <f t="shared" si="8"/>
        <v>0</v>
      </c>
      <c r="Q18" s="297">
        <f t="shared" si="9"/>
        <v>0</v>
      </c>
      <c r="R18" s="297">
        <f t="shared" si="10"/>
        <v>0</v>
      </c>
      <c r="S18" s="297">
        <f t="shared" si="11"/>
        <v>0</v>
      </c>
      <c r="T18" s="297">
        <f t="shared" si="12"/>
        <v>0</v>
      </c>
      <c r="U18" s="297">
        <f t="shared" si="13"/>
        <v>0</v>
      </c>
      <c r="V18" s="297">
        <f t="shared" si="14"/>
        <v>0</v>
      </c>
      <c r="W18" s="297">
        <f t="shared" si="15"/>
        <v>0</v>
      </c>
      <c r="X18" s="297">
        <f t="shared" si="16"/>
        <v>0</v>
      </c>
      <c r="Y18" s="297">
        <f t="shared" si="17"/>
        <v>0</v>
      </c>
      <c r="AA18" s="5" t="s">
        <v>723</v>
      </c>
      <c r="AB18" s="5">
        <v>28210</v>
      </c>
      <c r="AC18" s="5"/>
      <c r="AD18" s="5"/>
    </row>
    <row r="19" spans="1:30" ht="13.5" customHeight="1">
      <c r="A19" s="296">
        <v>15</v>
      </c>
      <c r="B19" s="161"/>
      <c r="C19" s="160"/>
      <c r="D19" s="161"/>
      <c r="E19" s="162"/>
      <c r="F19" s="344"/>
      <c r="G19" s="344"/>
      <c r="H19" s="297">
        <f t="shared" si="0"/>
        <v>0</v>
      </c>
      <c r="I19" s="297">
        <f t="shared" si="1"/>
        <v>0</v>
      </c>
      <c r="J19" s="297">
        <f t="shared" si="2"/>
        <v>0</v>
      </c>
      <c r="K19" s="297">
        <f t="shared" si="3"/>
        <v>0</v>
      </c>
      <c r="L19" s="297">
        <f t="shared" si="4"/>
        <v>0</v>
      </c>
      <c r="M19" s="297">
        <f t="shared" si="5"/>
        <v>0</v>
      </c>
      <c r="N19" s="297">
        <f t="shared" si="6"/>
        <v>0</v>
      </c>
      <c r="O19" s="297">
        <f t="shared" si="7"/>
        <v>0</v>
      </c>
      <c r="P19" s="297">
        <f t="shared" si="8"/>
        <v>0</v>
      </c>
      <c r="Q19" s="297">
        <f t="shared" si="9"/>
        <v>0</v>
      </c>
      <c r="R19" s="297">
        <f t="shared" si="10"/>
        <v>0</v>
      </c>
      <c r="S19" s="297">
        <f t="shared" si="11"/>
        <v>0</v>
      </c>
      <c r="T19" s="297">
        <f t="shared" si="12"/>
        <v>0</v>
      </c>
      <c r="U19" s="297">
        <f t="shared" si="13"/>
        <v>0</v>
      </c>
      <c r="V19" s="297">
        <f t="shared" si="14"/>
        <v>0</v>
      </c>
      <c r="W19" s="297">
        <f t="shared" si="15"/>
        <v>0</v>
      </c>
      <c r="X19" s="297">
        <f t="shared" si="16"/>
        <v>0</v>
      </c>
      <c r="Y19" s="297">
        <f t="shared" si="17"/>
        <v>0</v>
      </c>
      <c r="AA19" s="5" t="s">
        <v>755</v>
      </c>
      <c r="AB19" s="5">
        <v>28214</v>
      </c>
      <c r="AC19" s="5"/>
      <c r="AD19" s="5"/>
    </row>
    <row r="20" spans="1:30" ht="13.5" customHeight="1">
      <c r="A20" s="296">
        <v>16</v>
      </c>
      <c r="B20" s="161"/>
      <c r="C20" s="160"/>
      <c r="D20" s="161"/>
      <c r="E20" s="162"/>
      <c r="F20" s="344"/>
      <c r="G20" s="344"/>
      <c r="H20" s="297">
        <f t="shared" si="0"/>
        <v>0</v>
      </c>
      <c r="I20" s="297">
        <f t="shared" si="1"/>
        <v>0</v>
      </c>
      <c r="J20" s="297">
        <f t="shared" si="2"/>
        <v>0</v>
      </c>
      <c r="K20" s="297">
        <f t="shared" si="3"/>
        <v>0</v>
      </c>
      <c r="L20" s="297">
        <f t="shared" si="4"/>
        <v>0</v>
      </c>
      <c r="M20" s="297">
        <f t="shared" si="5"/>
        <v>0</v>
      </c>
      <c r="N20" s="297">
        <f t="shared" si="6"/>
        <v>0</v>
      </c>
      <c r="O20" s="297">
        <f t="shared" si="7"/>
        <v>0</v>
      </c>
      <c r="P20" s="297">
        <f t="shared" si="8"/>
        <v>0</v>
      </c>
      <c r="Q20" s="297">
        <f t="shared" si="9"/>
        <v>0</v>
      </c>
      <c r="R20" s="297">
        <f t="shared" si="10"/>
        <v>0</v>
      </c>
      <c r="S20" s="297">
        <f t="shared" si="11"/>
        <v>0</v>
      </c>
      <c r="T20" s="297">
        <f t="shared" si="12"/>
        <v>0</v>
      </c>
      <c r="U20" s="297">
        <f t="shared" si="13"/>
        <v>0</v>
      </c>
      <c r="V20" s="297">
        <f t="shared" si="14"/>
        <v>0</v>
      </c>
      <c r="W20" s="297">
        <f t="shared" si="15"/>
        <v>0</v>
      </c>
      <c r="X20" s="297">
        <f t="shared" si="16"/>
        <v>0</v>
      </c>
      <c r="Y20" s="297">
        <f t="shared" si="17"/>
        <v>0</v>
      </c>
      <c r="AA20" s="5" t="s">
        <v>733</v>
      </c>
      <c r="AB20" s="5">
        <v>28216</v>
      </c>
      <c r="AC20" s="5"/>
      <c r="AD20" s="5"/>
    </row>
    <row r="21" spans="1:30" ht="13.5" customHeight="1">
      <c r="A21" s="296">
        <v>17</v>
      </c>
      <c r="B21" s="161"/>
      <c r="C21" s="160"/>
      <c r="D21" s="161"/>
      <c r="E21" s="162"/>
      <c r="F21" s="344"/>
      <c r="G21" s="344"/>
      <c r="H21" s="297">
        <f t="shared" si="0"/>
        <v>0</v>
      </c>
      <c r="I21" s="297">
        <f t="shared" si="1"/>
        <v>0</v>
      </c>
      <c r="J21" s="297">
        <f t="shared" si="2"/>
        <v>0</v>
      </c>
      <c r="K21" s="297">
        <f t="shared" si="3"/>
        <v>0</v>
      </c>
      <c r="L21" s="297">
        <f t="shared" si="4"/>
        <v>0</v>
      </c>
      <c r="M21" s="297">
        <f t="shared" si="5"/>
        <v>0</v>
      </c>
      <c r="N21" s="297">
        <f t="shared" si="6"/>
        <v>0</v>
      </c>
      <c r="O21" s="297">
        <f t="shared" si="7"/>
        <v>0</v>
      </c>
      <c r="P21" s="297">
        <f t="shared" si="8"/>
        <v>0</v>
      </c>
      <c r="Q21" s="297">
        <f t="shared" si="9"/>
        <v>0</v>
      </c>
      <c r="R21" s="297">
        <f t="shared" si="10"/>
        <v>0</v>
      </c>
      <c r="S21" s="297">
        <f t="shared" si="11"/>
        <v>0</v>
      </c>
      <c r="T21" s="297">
        <f t="shared" si="12"/>
        <v>0</v>
      </c>
      <c r="U21" s="297">
        <f t="shared" si="13"/>
        <v>0</v>
      </c>
      <c r="V21" s="297">
        <f t="shared" si="14"/>
        <v>0</v>
      </c>
      <c r="W21" s="297">
        <f t="shared" si="15"/>
        <v>0</v>
      </c>
      <c r="X21" s="297">
        <f t="shared" si="16"/>
        <v>0</v>
      </c>
      <c r="Y21" s="297">
        <f t="shared" si="17"/>
        <v>0</v>
      </c>
      <c r="AA21" s="5" t="s">
        <v>759</v>
      </c>
      <c r="AB21" s="5">
        <v>28217</v>
      </c>
      <c r="AC21" s="5"/>
      <c r="AD21" s="5"/>
    </row>
    <row r="22" spans="1:30" ht="13.5" customHeight="1">
      <c r="A22" s="296">
        <v>18</v>
      </c>
      <c r="B22" s="161"/>
      <c r="C22" s="160"/>
      <c r="D22" s="161"/>
      <c r="E22" s="162"/>
      <c r="F22" s="344"/>
      <c r="G22" s="344"/>
      <c r="H22" s="297">
        <f t="shared" si="0"/>
        <v>0</v>
      </c>
      <c r="I22" s="297">
        <f t="shared" si="1"/>
        <v>0</v>
      </c>
      <c r="J22" s="297">
        <f t="shared" si="2"/>
        <v>0</v>
      </c>
      <c r="K22" s="297">
        <f t="shared" si="3"/>
        <v>0</v>
      </c>
      <c r="L22" s="297">
        <f t="shared" si="4"/>
        <v>0</v>
      </c>
      <c r="M22" s="297">
        <f t="shared" si="5"/>
        <v>0</v>
      </c>
      <c r="N22" s="297">
        <f t="shared" si="6"/>
        <v>0</v>
      </c>
      <c r="O22" s="297">
        <f t="shared" si="7"/>
        <v>0</v>
      </c>
      <c r="P22" s="297">
        <f t="shared" si="8"/>
        <v>0</v>
      </c>
      <c r="Q22" s="297">
        <f t="shared" si="9"/>
        <v>0</v>
      </c>
      <c r="R22" s="297">
        <f t="shared" si="10"/>
        <v>0</v>
      </c>
      <c r="S22" s="297">
        <f t="shared" si="11"/>
        <v>0</v>
      </c>
      <c r="T22" s="297">
        <f t="shared" si="12"/>
        <v>0</v>
      </c>
      <c r="U22" s="297">
        <f t="shared" si="13"/>
        <v>0</v>
      </c>
      <c r="V22" s="297">
        <f t="shared" si="14"/>
        <v>0</v>
      </c>
      <c r="W22" s="297">
        <f t="shared" si="15"/>
        <v>0</v>
      </c>
      <c r="X22" s="297">
        <f t="shared" si="16"/>
        <v>0</v>
      </c>
      <c r="Y22" s="297">
        <f t="shared" si="17"/>
        <v>0</v>
      </c>
      <c r="AA22" s="5" t="s">
        <v>721</v>
      </c>
      <c r="AB22" s="5">
        <v>28382</v>
      </c>
      <c r="AC22" s="5"/>
      <c r="AD22" s="5"/>
    </row>
    <row r="23" spans="1:30" ht="13.5" customHeight="1">
      <c r="A23" s="296">
        <v>19</v>
      </c>
      <c r="B23" s="161"/>
      <c r="C23" s="160"/>
      <c r="D23" s="161"/>
      <c r="E23" s="162"/>
      <c r="F23" s="344"/>
      <c r="G23" s="344"/>
      <c r="H23" s="297">
        <f t="shared" si="0"/>
        <v>0</v>
      </c>
      <c r="I23" s="297">
        <f t="shared" si="1"/>
        <v>0</v>
      </c>
      <c r="J23" s="297">
        <f t="shared" si="2"/>
        <v>0</v>
      </c>
      <c r="K23" s="297">
        <f t="shared" si="3"/>
        <v>0</v>
      </c>
      <c r="L23" s="297">
        <f t="shared" si="4"/>
        <v>0</v>
      </c>
      <c r="M23" s="297">
        <f t="shared" si="5"/>
        <v>0</v>
      </c>
      <c r="N23" s="297">
        <f t="shared" si="6"/>
        <v>0</v>
      </c>
      <c r="O23" s="297">
        <f t="shared" si="7"/>
        <v>0</v>
      </c>
      <c r="P23" s="297">
        <f t="shared" si="8"/>
        <v>0</v>
      </c>
      <c r="Q23" s="297">
        <f t="shared" si="9"/>
        <v>0</v>
      </c>
      <c r="R23" s="297">
        <f t="shared" si="10"/>
        <v>0</v>
      </c>
      <c r="S23" s="297">
        <f t="shared" si="11"/>
        <v>0</v>
      </c>
      <c r="T23" s="297">
        <f t="shared" si="12"/>
        <v>0</v>
      </c>
      <c r="U23" s="297">
        <f t="shared" si="13"/>
        <v>0</v>
      </c>
      <c r="V23" s="297">
        <f t="shared" si="14"/>
        <v>0</v>
      </c>
      <c r="W23" s="297">
        <f t="shared" si="15"/>
        <v>0</v>
      </c>
      <c r="X23" s="297">
        <f t="shared" si="16"/>
        <v>0</v>
      </c>
      <c r="Y23" s="297">
        <f t="shared" si="17"/>
        <v>0</v>
      </c>
      <c r="AA23" s="2" t="s">
        <v>784</v>
      </c>
      <c r="AB23" s="2">
        <v>28464</v>
      </c>
      <c r="AC23" s="2"/>
      <c r="AD23" s="2"/>
    </row>
    <row r="24" spans="1:25" ht="13.5" customHeight="1">
      <c r="A24" s="296">
        <v>20</v>
      </c>
      <c r="B24" s="161"/>
      <c r="C24" s="160"/>
      <c r="D24" s="161"/>
      <c r="E24" s="162"/>
      <c r="F24" s="344"/>
      <c r="G24" s="344"/>
      <c r="H24" s="297">
        <f t="shared" si="0"/>
        <v>0</v>
      </c>
      <c r="I24" s="297">
        <f t="shared" si="1"/>
        <v>0</v>
      </c>
      <c r="J24" s="297">
        <f t="shared" si="2"/>
        <v>0</v>
      </c>
      <c r="K24" s="297">
        <f t="shared" si="3"/>
        <v>0</v>
      </c>
      <c r="L24" s="297">
        <f t="shared" si="4"/>
        <v>0</v>
      </c>
      <c r="M24" s="297">
        <f t="shared" si="5"/>
        <v>0</v>
      </c>
      <c r="N24" s="297">
        <f t="shared" si="6"/>
        <v>0</v>
      </c>
      <c r="O24" s="297">
        <f t="shared" si="7"/>
        <v>0</v>
      </c>
      <c r="P24" s="297">
        <f t="shared" si="8"/>
        <v>0</v>
      </c>
      <c r="Q24" s="297">
        <f t="shared" si="9"/>
        <v>0</v>
      </c>
      <c r="R24" s="297">
        <f t="shared" si="10"/>
        <v>0</v>
      </c>
      <c r="S24" s="297">
        <f t="shared" si="11"/>
        <v>0</v>
      </c>
      <c r="T24" s="297">
        <f t="shared" si="12"/>
        <v>0</v>
      </c>
      <c r="U24" s="297">
        <f t="shared" si="13"/>
        <v>0</v>
      </c>
      <c r="V24" s="297">
        <f t="shared" si="14"/>
        <v>0</v>
      </c>
      <c r="W24" s="297">
        <f t="shared" si="15"/>
        <v>0</v>
      </c>
      <c r="X24" s="297">
        <f t="shared" si="16"/>
        <v>0</v>
      </c>
      <c r="Y24" s="297">
        <f t="shared" si="17"/>
        <v>0</v>
      </c>
    </row>
    <row r="25" spans="1:25" ht="13.5" customHeight="1">
      <c r="A25" s="296">
        <v>21</v>
      </c>
      <c r="B25" s="161"/>
      <c r="C25" s="160"/>
      <c r="D25" s="161"/>
      <c r="E25" s="162"/>
      <c r="F25" s="344"/>
      <c r="G25" s="344"/>
      <c r="H25" s="297">
        <f t="shared" si="0"/>
        <v>0</v>
      </c>
      <c r="I25" s="297">
        <f t="shared" si="1"/>
        <v>0</v>
      </c>
      <c r="J25" s="297">
        <f t="shared" si="2"/>
        <v>0</v>
      </c>
      <c r="K25" s="297">
        <f t="shared" si="3"/>
        <v>0</v>
      </c>
      <c r="L25" s="297">
        <f t="shared" si="4"/>
        <v>0</v>
      </c>
      <c r="M25" s="297">
        <f t="shared" si="5"/>
        <v>0</v>
      </c>
      <c r="N25" s="297">
        <f t="shared" si="6"/>
        <v>0</v>
      </c>
      <c r="O25" s="297">
        <f t="shared" si="7"/>
        <v>0</v>
      </c>
      <c r="P25" s="297">
        <f t="shared" si="8"/>
        <v>0</v>
      </c>
      <c r="Q25" s="297">
        <f t="shared" si="9"/>
        <v>0</v>
      </c>
      <c r="R25" s="297">
        <f t="shared" si="10"/>
        <v>0</v>
      </c>
      <c r="S25" s="297">
        <f t="shared" si="11"/>
        <v>0</v>
      </c>
      <c r="T25" s="297">
        <f t="shared" si="12"/>
        <v>0</v>
      </c>
      <c r="U25" s="297">
        <f t="shared" si="13"/>
        <v>0</v>
      </c>
      <c r="V25" s="297">
        <f t="shared" si="14"/>
        <v>0</v>
      </c>
      <c r="W25" s="297">
        <f t="shared" si="15"/>
        <v>0</v>
      </c>
      <c r="X25" s="297">
        <f t="shared" si="16"/>
        <v>0</v>
      </c>
      <c r="Y25" s="297">
        <f t="shared" si="17"/>
        <v>0</v>
      </c>
    </row>
    <row r="26" spans="1:25" ht="13.5" customHeight="1">
      <c r="A26" s="296">
        <v>22</v>
      </c>
      <c r="B26" s="161"/>
      <c r="C26" s="160"/>
      <c r="D26" s="161"/>
      <c r="E26" s="162"/>
      <c r="F26" s="344"/>
      <c r="G26" s="344"/>
      <c r="H26" s="297">
        <f t="shared" si="0"/>
        <v>0</v>
      </c>
      <c r="I26" s="297">
        <f t="shared" si="1"/>
        <v>0</v>
      </c>
      <c r="J26" s="297">
        <f t="shared" si="2"/>
        <v>0</v>
      </c>
      <c r="K26" s="297">
        <f t="shared" si="3"/>
        <v>0</v>
      </c>
      <c r="L26" s="297">
        <f t="shared" si="4"/>
        <v>0</v>
      </c>
      <c r="M26" s="297">
        <f t="shared" si="5"/>
        <v>0</v>
      </c>
      <c r="N26" s="297">
        <f t="shared" si="6"/>
        <v>0</v>
      </c>
      <c r="O26" s="297">
        <f t="shared" si="7"/>
        <v>0</v>
      </c>
      <c r="P26" s="297">
        <f t="shared" si="8"/>
        <v>0</v>
      </c>
      <c r="Q26" s="297">
        <f t="shared" si="9"/>
        <v>0</v>
      </c>
      <c r="R26" s="297">
        <f t="shared" si="10"/>
        <v>0</v>
      </c>
      <c r="S26" s="297">
        <f t="shared" si="11"/>
        <v>0</v>
      </c>
      <c r="T26" s="297">
        <f t="shared" si="12"/>
        <v>0</v>
      </c>
      <c r="U26" s="297">
        <f t="shared" si="13"/>
        <v>0</v>
      </c>
      <c r="V26" s="297">
        <f t="shared" si="14"/>
        <v>0</v>
      </c>
      <c r="W26" s="297">
        <f t="shared" si="15"/>
        <v>0</v>
      </c>
      <c r="X26" s="297">
        <f t="shared" si="16"/>
        <v>0</v>
      </c>
      <c r="Y26" s="297">
        <f t="shared" si="17"/>
        <v>0</v>
      </c>
    </row>
    <row r="27" spans="1:25" ht="13.5" customHeight="1">
      <c r="A27" s="296">
        <v>23</v>
      </c>
      <c r="B27" s="161"/>
      <c r="C27" s="160"/>
      <c r="D27" s="161"/>
      <c r="E27" s="162"/>
      <c r="F27" s="344"/>
      <c r="G27" s="344"/>
      <c r="H27" s="297">
        <f t="shared" si="0"/>
        <v>0</v>
      </c>
      <c r="I27" s="297">
        <f t="shared" si="1"/>
        <v>0</v>
      </c>
      <c r="J27" s="297">
        <f t="shared" si="2"/>
        <v>0</v>
      </c>
      <c r="K27" s="297">
        <f t="shared" si="3"/>
        <v>0</v>
      </c>
      <c r="L27" s="297">
        <f t="shared" si="4"/>
        <v>0</v>
      </c>
      <c r="M27" s="297">
        <f t="shared" si="5"/>
        <v>0</v>
      </c>
      <c r="N27" s="297">
        <f t="shared" si="6"/>
        <v>0</v>
      </c>
      <c r="O27" s="297">
        <f t="shared" si="7"/>
        <v>0</v>
      </c>
      <c r="P27" s="297">
        <f t="shared" si="8"/>
        <v>0</v>
      </c>
      <c r="Q27" s="297">
        <f t="shared" si="9"/>
        <v>0</v>
      </c>
      <c r="R27" s="297">
        <f t="shared" si="10"/>
        <v>0</v>
      </c>
      <c r="S27" s="297">
        <f t="shared" si="11"/>
        <v>0</v>
      </c>
      <c r="T27" s="297">
        <f t="shared" si="12"/>
        <v>0</v>
      </c>
      <c r="U27" s="297">
        <f t="shared" si="13"/>
        <v>0</v>
      </c>
      <c r="V27" s="297">
        <f t="shared" si="14"/>
        <v>0</v>
      </c>
      <c r="W27" s="297">
        <f t="shared" si="15"/>
        <v>0</v>
      </c>
      <c r="X27" s="297">
        <f t="shared" si="16"/>
        <v>0</v>
      </c>
      <c r="Y27" s="297">
        <f t="shared" si="17"/>
        <v>0</v>
      </c>
    </row>
    <row r="28" spans="1:25" ht="13.5" customHeight="1">
      <c r="A28" s="296">
        <v>24</v>
      </c>
      <c r="B28" s="161"/>
      <c r="C28" s="160"/>
      <c r="D28" s="161"/>
      <c r="E28" s="162"/>
      <c r="F28" s="344"/>
      <c r="G28" s="344"/>
      <c r="H28" s="297">
        <f t="shared" si="0"/>
        <v>0</v>
      </c>
      <c r="I28" s="297">
        <f t="shared" si="1"/>
        <v>0</v>
      </c>
      <c r="J28" s="297">
        <f t="shared" si="2"/>
        <v>0</v>
      </c>
      <c r="K28" s="297">
        <f t="shared" si="3"/>
        <v>0</v>
      </c>
      <c r="L28" s="297">
        <f t="shared" si="4"/>
        <v>0</v>
      </c>
      <c r="M28" s="297">
        <f t="shared" si="5"/>
        <v>0</v>
      </c>
      <c r="N28" s="297">
        <f t="shared" si="6"/>
        <v>0</v>
      </c>
      <c r="O28" s="297">
        <f t="shared" si="7"/>
        <v>0</v>
      </c>
      <c r="P28" s="297">
        <f t="shared" si="8"/>
        <v>0</v>
      </c>
      <c r="Q28" s="297">
        <f t="shared" si="9"/>
        <v>0</v>
      </c>
      <c r="R28" s="297">
        <f t="shared" si="10"/>
        <v>0</v>
      </c>
      <c r="S28" s="297">
        <f t="shared" si="11"/>
        <v>0</v>
      </c>
      <c r="T28" s="297">
        <f t="shared" si="12"/>
        <v>0</v>
      </c>
      <c r="U28" s="297">
        <f t="shared" si="13"/>
        <v>0</v>
      </c>
      <c r="V28" s="297">
        <f t="shared" si="14"/>
        <v>0</v>
      </c>
      <c r="W28" s="297">
        <f t="shared" si="15"/>
        <v>0</v>
      </c>
      <c r="X28" s="297">
        <f t="shared" si="16"/>
        <v>0</v>
      </c>
      <c r="Y28" s="297">
        <f t="shared" si="17"/>
        <v>0</v>
      </c>
    </row>
    <row r="29" spans="1:25" ht="13.5" customHeight="1">
      <c r="A29" s="296">
        <v>25</v>
      </c>
      <c r="B29" s="161"/>
      <c r="C29" s="160"/>
      <c r="D29" s="161"/>
      <c r="E29" s="162"/>
      <c r="F29" s="344"/>
      <c r="G29" s="344"/>
      <c r="H29" s="297">
        <f t="shared" si="0"/>
        <v>0</v>
      </c>
      <c r="I29" s="297">
        <f t="shared" si="1"/>
        <v>0</v>
      </c>
      <c r="J29" s="297">
        <f t="shared" si="2"/>
        <v>0</v>
      </c>
      <c r="K29" s="297">
        <f t="shared" si="3"/>
        <v>0</v>
      </c>
      <c r="L29" s="297">
        <f t="shared" si="4"/>
        <v>0</v>
      </c>
      <c r="M29" s="297">
        <f t="shared" si="5"/>
        <v>0</v>
      </c>
      <c r="N29" s="297">
        <f t="shared" si="6"/>
        <v>0</v>
      </c>
      <c r="O29" s="297">
        <f t="shared" si="7"/>
        <v>0</v>
      </c>
      <c r="P29" s="297">
        <f t="shared" si="8"/>
        <v>0</v>
      </c>
      <c r="Q29" s="297">
        <f t="shared" si="9"/>
        <v>0</v>
      </c>
      <c r="R29" s="297">
        <f t="shared" si="10"/>
        <v>0</v>
      </c>
      <c r="S29" s="297">
        <f t="shared" si="11"/>
        <v>0</v>
      </c>
      <c r="T29" s="297">
        <f t="shared" si="12"/>
        <v>0</v>
      </c>
      <c r="U29" s="297">
        <f t="shared" si="13"/>
        <v>0</v>
      </c>
      <c r="V29" s="297">
        <f t="shared" si="14"/>
        <v>0</v>
      </c>
      <c r="W29" s="297">
        <f t="shared" si="15"/>
        <v>0</v>
      </c>
      <c r="X29" s="297">
        <f t="shared" si="16"/>
        <v>0</v>
      </c>
      <c r="Y29" s="297">
        <f t="shared" si="17"/>
        <v>0</v>
      </c>
    </row>
    <row r="30" spans="1:25" ht="13.5" customHeight="1">
      <c r="A30" s="296">
        <v>26</v>
      </c>
      <c r="B30" s="161"/>
      <c r="C30" s="160"/>
      <c r="D30" s="161"/>
      <c r="E30" s="162"/>
      <c r="F30" s="344"/>
      <c r="G30" s="344"/>
      <c r="H30" s="297">
        <f t="shared" si="0"/>
        <v>0</v>
      </c>
      <c r="I30" s="297">
        <f t="shared" si="1"/>
        <v>0</v>
      </c>
      <c r="J30" s="297">
        <f t="shared" si="2"/>
        <v>0</v>
      </c>
      <c r="K30" s="297">
        <f t="shared" si="3"/>
        <v>0</v>
      </c>
      <c r="L30" s="297">
        <f t="shared" si="4"/>
        <v>0</v>
      </c>
      <c r="M30" s="297">
        <f t="shared" si="5"/>
        <v>0</v>
      </c>
      <c r="N30" s="297">
        <f t="shared" si="6"/>
        <v>0</v>
      </c>
      <c r="O30" s="297">
        <f t="shared" si="7"/>
        <v>0</v>
      </c>
      <c r="P30" s="297">
        <f t="shared" si="8"/>
        <v>0</v>
      </c>
      <c r="Q30" s="297">
        <f t="shared" si="9"/>
        <v>0</v>
      </c>
      <c r="R30" s="297">
        <f t="shared" si="10"/>
        <v>0</v>
      </c>
      <c r="S30" s="297">
        <f t="shared" si="11"/>
        <v>0</v>
      </c>
      <c r="T30" s="297">
        <f t="shared" si="12"/>
        <v>0</v>
      </c>
      <c r="U30" s="297">
        <f t="shared" si="13"/>
        <v>0</v>
      </c>
      <c r="V30" s="297">
        <f t="shared" si="14"/>
        <v>0</v>
      </c>
      <c r="W30" s="297">
        <f t="shared" si="15"/>
        <v>0</v>
      </c>
      <c r="X30" s="297">
        <f t="shared" si="16"/>
        <v>0</v>
      </c>
      <c r="Y30" s="297">
        <f t="shared" si="17"/>
        <v>0</v>
      </c>
    </row>
    <row r="31" spans="1:25" ht="13.5" customHeight="1">
      <c r="A31" s="296">
        <v>27</v>
      </c>
      <c r="B31" s="161"/>
      <c r="C31" s="160"/>
      <c r="D31" s="161"/>
      <c r="E31" s="162"/>
      <c r="F31" s="344"/>
      <c r="G31" s="344"/>
      <c r="H31" s="297">
        <f t="shared" si="0"/>
        <v>0</v>
      </c>
      <c r="I31" s="297">
        <f t="shared" si="1"/>
        <v>0</v>
      </c>
      <c r="J31" s="297">
        <f t="shared" si="2"/>
        <v>0</v>
      </c>
      <c r="K31" s="297">
        <f t="shared" si="3"/>
        <v>0</v>
      </c>
      <c r="L31" s="297">
        <f t="shared" si="4"/>
        <v>0</v>
      </c>
      <c r="M31" s="297">
        <f t="shared" si="5"/>
        <v>0</v>
      </c>
      <c r="N31" s="297">
        <f t="shared" si="6"/>
        <v>0</v>
      </c>
      <c r="O31" s="297">
        <f t="shared" si="7"/>
        <v>0</v>
      </c>
      <c r="P31" s="297">
        <f t="shared" si="8"/>
        <v>0</v>
      </c>
      <c r="Q31" s="297">
        <f t="shared" si="9"/>
        <v>0</v>
      </c>
      <c r="R31" s="297">
        <f t="shared" si="10"/>
        <v>0</v>
      </c>
      <c r="S31" s="297">
        <f t="shared" si="11"/>
        <v>0</v>
      </c>
      <c r="T31" s="297">
        <f t="shared" si="12"/>
        <v>0</v>
      </c>
      <c r="U31" s="297">
        <f t="shared" si="13"/>
        <v>0</v>
      </c>
      <c r="V31" s="297">
        <f t="shared" si="14"/>
        <v>0</v>
      </c>
      <c r="W31" s="297">
        <f t="shared" si="15"/>
        <v>0</v>
      </c>
      <c r="X31" s="297">
        <f t="shared" si="16"/>
        <v>0</v>
      </c>
      <c r="Y31" s="297">
        <f t="shared" si="17"/>
        <v>0</v>
      </c>
    </row>
    <row r="32" spans="1:25" ht="13.5" customHeight="1">
      <c r="A32" s="296">
        <v>28</v>
      </c>
      <c r="B32" s="161"/>
      <c r="C32" s="160"/>
      <c r="D32" s="161"/>
      <c r="E32" s="162"/>
      <c r="F32" s="344"/>
      <c r="G32" s="344"/>
      <c r="H32" s="297">
        <f t="shared" si="0"/>
        <v>0</v>
      </c>
      <c r="I32" s="297">
        <f t="shared" si="1"/>
        <v>0</v>
      </c>
      <c r="J32" s="297">
        <f t="shared" si="2"/>
        <v>0</v>
      </c>
      <c r="K32" s="297">
        <f t="shared" si="3"/>
        <v>0</v>
      </c>
      <c r="L32" s="297">
        <f t="shared" si="4"/>
        <v>0</v>
      </c>
      <c r="M32" s="297">
        <f t="shared" si="5"/>
        <v>0</v>
      </c>
      <c r="N32" s="297">
        <f t="shared" si="6"/>
        <v>0</v>
      </c>
      <c r="O32" s="297">
        <f t="shared" si="7"/>
        <v>0</v>
      </c>
      <c r="P32" s="297">
        <f t="shared" si="8"/>
        <v>0</v>
      </c>
      <c r="Q32" s="297">
        <f t="shared" si="9"/>
        <v>0</v>
      </c>
      <c r="R32" s="297">
        <f t="shared" si="10"/>
        <v>0</v>
      </c>
      <c r="S32" s="297">
        <f t="shared" si="11"/>
        <v>0</v>
      </c>
      <c r="T32" s="297">
        <f t="shared" si="12"/>
        <v>0</v>
      </c>
      <c r="U32" s="297">
        <f t="shared" si="13"/>
        <v>0</v>
      </c>
      <c r="V32" s="297">
        <f t="shared" si="14"/>
        <v>0</v>
      </c>
      <c r="W32" s="297">
        <f t="shared" si="15"/>
        <v>0</v>
      </c>
      <c r="X32" s="297">
        <f t="shared" si="16"/>
        <v>0</v>
      </c>
      <c r="Y32" s="297">
        <f t="shared" si="17"/>
        <v>0</v>
      </c>
    </row>
    <row r="33" spans="1:25" ht="13.5" customHeight="1">
      <c r="A33" s="296">
        <v>29</v>
      </c>
      <c r="B33" s="161"/>
      <c r="C33" s="160"/>
      <c r="D33" s="161"/>
      <c r="E33" s="162"/>
      <c r="F33" s="344"/>
      <c r="G33" s="344"/>
      <c r="H33" s="297">
        <f t="shared" si="0"/>
        <v>0</v>
      </c>
      <c r="I33" s="297">
        <f t="shared" si="1"/>
        <v>0</v>
      </c>
      <c r="J33" s="297">
        <f t="shared" si="2"/>
        <v>0</v>
      </c>
      <c r="K33" s="297">
        <f t="shared" si="3"/>
        <v>0</v>
      </c>
      <c r="L33" s="297">
        <f t="shared" si="4"/>
        <v>0</v>
      </c>
      <c r="M33" s="297">
        <f t="shared" si="5"/>
        <v>0</v>
      </c>
      <c r="N33" s="297">
        <f t="shared" si="6"/>
        <v>0</v>
      </c>
      <c r="O33" s="297">
        <f t="shared" si="7"/>
        <v>0</v>
      </c>
      <c r="P33" s="297">
        <f t="shared" si="8"/>
        <v>0</v>
      </c>
      <c r="Q33" s="297">
        <f t="shared" si="9"/>
        <v>0</v>
      </c>
      <c r="R33" s="297">
        <f t="shared" si="10"/>
        <v>0</v>
      </c>
      <c r="S33" s="297">
        <f t="shared" si="11"/>
        <v>0</v>
      </c>
      <c r="T33" s="297">
        <f t="shared" si="12"/>
        <v>0</v>
      </c>
      <c r="U33" s="297">
        <f t="shared" si="13"/>
        <v>0</v>
      </c>
      <c r="V33" s="297">
        <f t="shared" si="14"/>
        <v>0</v>
      </c>
      <c r="W33" s="297">
        <f t="shared" si="15"/>
        <v>0</v>
      </c>
      <c r="X33" s="297">
        <f t="shared" si="16"/>
        <v>0</v>
      </c>
      <c r="Y33" s="297">
        <f t="shared" si="17"/>
        <v>0</v>
      </c>
    </row>
    <row r="34" spans="1:25" ht="13.5" customHeight="1">
      <c r="A34" s="296">
        <v>30</v>
      </c>
      <c r="B34" s="161"/>
      <c r="C34" s="160"/>
      <c r="D34" s="161"/>
      <c r="E34" s="162"/>
      <c r="F34" s="344"/>
      <c r="G34" s="344"/>
      <c r="H34" s="297">
        <f t="shared" si="0"/>
        <v>0</v>
      </c>
      <c r="I34" s="297">
        <f t="shared" si="1"/>
        <v>0</v>
      </c>
      <c r="J34" s="297">
        <f t="shared" si="2"/>
        <v>0</v>
      </c>
      <c r="K34" s="297">
        <f t="shared" si="3"/>
        <v>0</v>
      </c>
      <c r="L34" s="297">
        <f t="shared" si="4"/>
        <v>0</v>
      </c>
      <c r="M34" s="297">
        <f t="shared" si="5"/>
        <v>0</v>
      </c>
      <c r="N34" s="297">
        <f t="shared" si="6"/>
        <v>0</v>
      </c>
      <c r="O34" s="297">
        <f t="shared" si="7"/>
        <v>0</v>
      </c>
      <c r="P34" s="297">
        <f t="shared" si="8"/>
        <v>0</v>
      </c>
      <c r="Q34" s="297">
        <f t="shared" si="9"/>
        <v>0</v>
      </c>
      <c r="R34" s="297">
        <f t="shared" si="10"/>
        <v>0</v>
      </c>
      <c r="S34" s="297">
        <f t="shared" si="11"/>
        <v>0</v>
      </c>
      <c r="T34" s="297">
        <f t="shared" si="12"/>
        <v>0</v>
      </c>
      <c r="U34" s="297">
        <f t="shared" si="13"/>
        <v>0</v>
      </c>
      <c r="V34" s="297">
        <f t="shared" si="14"/>
        <v>0</v>
      </c>
      <c r="W34" s="297">
        <f t="shared" si="15"/>
        <v>0</v>
      </c>
      <c r="X34" s="297">
        <f t="shared" si="16"/>
        <v>0</v>
      </c>
      <c r="Y34" s="297">
        <f t="shared" si="17"/>
        <v>0</v>
      </c>
    </row>
    <row r="35" spans="1:25" ht="13.5" customHeight="1">
      <c r="A35" s="296">
        <v>31</v>
      </c>
      <c r="B35" s="161"/>
      <c r="C35" s="160"/>
      <c r="D35" s="161"/>
      <c r="E35" s="162"/>
      <c r="F35" s="344"/>
      <c r="G35" s="344"/>
      <c r="H35" s="297">
        <f t="shared" si="0"/>
        <v>0</v>
      </c>
      <c r="I35" s="297">
        <f t="shared" si="1"/>
        <v>0</v>
      </c>
      <c r="J35" s="297">
        <f t="shared" si="2"/>
        <v>0</v>
      </c>
      <c r="K35" s="297">
        <f t="shared" si="3"/>
        <v>0</v>
      </c>
      <c r="L35" s="297">
        <f t="shared" si="4"/>
        <v>0</v>
      </c>
      <c r="M35" s="297">
        <f t="shared" si="5"/>
        <v>0</v>
      </c>
      <c r="N35" s="297">
        <f t="shared" si="6"/>
        <v>0</v>
      </c>
      <c r="O35" s="297">
        <f t="shared" si="7"/>
        <v>0</v>
      </c>
      <c r="P35" s="297">
        <f t="shared" si="8"/>
        <v>0</v>
      </c>
      <c r="Q35" s="297">
        <f t="shared" si="9"/>
        <v>0</v>
      </c>
      <c r="R35" s="297">
        <f t="shared" si="10"/>
        <v>0</v>
      </c>
      <c r="S35" s="297">
        <f t="shared" si="11"/>
        <v>0</v>
      </c>
      <c r="T35" s="297">
        <f t="shared" si="12"/>
        <v>0</v>
      </c>
      <c r="U35" s="297">
        <f t="shared" si="13"/>
        <v>0</v>
      </c>
      <c r="V35" s="297">
        <f t="shared" si="14"/>
        <v>0</v>
      </c>
      <c r="W35" s="297">
        <f t="shared" si="15"/>
        <v>0</v>
      </c>
      <c r="X35" s="297">
        <f t="shared" si="16"/>
        <v>0</v>
      </c>
      <c r="Y35" s="297">
        <f t="shared" si="17"/>
        <v>0</v>
      </c>
    </row>
    <row r="36" spans="1:25" ht="13.5" customHeight="1">
      <c r="A36" s="296">
        <v>32</v>
      </c>
      <c r="B36" s="161"/>
      <c r="C36" s="160"/>
      <c r="D36" s="161"/>
      <c r="E36" s="162"/>
      <c r="F36" s="344"/>
      <c r="G36" s="344"/>
      <c r="H36" s="297">
        <f t="shared" si="0"/>
        <v>0</v>
      </c>
      <c r="I36" s="297">
        <f t="shared" si="1"/>
        <v>0</v>
      </c>
      <c r="J36" s="297">
        <f t="shared" si="2"/>
        <v>0</v>
      </c>
      <c r="K36" s="297">
        <f t="shared" si="3"/>
        <v>0</v>
      </c>
      <c r="L36" s="297">
        <f t="shared" si="4"/>
        <v>0</v>
      </c>
      <c r="M36" s="297">
        <f t="shared" si="5"/>
        <v>0</v>
      </c>
      <c r="N36" s="297">
        <f t="shared" si="6"/>
        <v>0</v>
      </c>
      <c r="O36" s="297">
        <f t="shared" si="7"/>
        <v>0</v>
      </c>
      <c r="P36" s="297">
        <f t="shared" si="8"/>
        <v>0</v>
      </c>
      <c r="Q36" s="297">
        <f t="shared" si="9"/>
        <v>0</v>
      </c>
      <c r="R36" s="297">
        <f t="shared" si="10"/>
        <v>0</v>
      </c>
      <c r="S36" s="297">
        <f t="shared" si="11"/>
        <v>0</v>
      </c>
      <c r="T36" s="297">
        <f t="shared" si="12"/>
        <v>0</v>
      </c>
      <c r="U36" s="297">
        <f t="shared" si="13"/>
        <v>0</v>
      </c>
      <c r="V36" s="297">
        <f t="shared" si="14"/>
        <v>0</v>
      </c>
      <c r="W36" s="297">
        <f t="shared" si="15"/>
        <v>0</v>
      </c>
      <c r="X36" s="297">
        <f t="shared" si="16"/>
        <v>0</v>
      </c>
      <c r="Y36" s="297">
        <f t="shared" si="17"/>
        <v>0</v>
      </c>
    </row>
    <row r="37" spans="1:25" ht="13.5" customHeight="1">
      <c r="A37" s="296">
        <v>33</v>
      </c>
      <c r="B37" s="161"/>
      <c r="C37" s="160"/>
      <c r="D37" s="161"/>
      <c r="E37" s="162"/>
      <c r="F37" s="344"/>
      <c r="G37" s="344"/>
      <c r="H37" s="297">
        <f t="shared" si="0"/>
        <v>0</v>
      </c>
      <c r="I37" s="297">
        <f t="shared" si="1"/>
        <v>0</v>
      </c>
      <c r="J37" s="297">
        <f t="shared" si="2"/>
        <v>0</v>
      </c>
      <c r="K37" s="297">
        <f t="shared" si="3"/>
        <v>0</v>
      </c>
      <c r="L37" s="297">
        <f t="shared" si="4"/>
        <v>0</v>
      </c>
      <c r="M37" s="297">
        <f t="shared" si="5"/>
        <v>0</v>
      </c>
      <c r="N37" s="297">
        <f t="shared" si="6"/>
        <v>0</v>
      </c>
      <c r="O37" s="297">
        <f t="shared" si="7"/>
        <v>0</v>
      </c>
      <c r="P37" s="297">
        <f t="shared" si="8"/>
        <v>0</v>
      </c>
      <c r="Q37" s="297">
        <f t="shared" si="9"/>
        <v>0</v>
      </c>
      <c r="R37" s="297">
        <f t="shared" si="10"/>
        <v>0</v>
      </c>
      <c r="S37" s="297">
        <f t="shared" si="11"/>
        <v>0</v>
      </c>
      <c r="T37" s="297">
        <f t="shared" si="12"/>
        <v>0</v>
      </c>
      <c r="U37" s="297">
        <f t="shared" si="13"/>
        <v>0</v>
      </c>
      <c r="V37" s="297">
        <f t="shared" si="14"/>
        <v>0</v>
      </c>
      <c r="W37" s="297">
        <f t="shared" si="15"/>
        <v>0</v>
      </c>
      <c r="X37" s="297">
        <f t="shared" si="16"/>
        <v>0</v>
      </c>
      <c r="Y37" s="297">
        <f t="shared" si="17"/>
        <v>0</v>
      </c>
    </row>
    <row r="38" spans="1:25" ht="13.5" customHeight="1">
      <c r="A38" s="296">
        <v>34</v>
      </c>
      <c r="B38" s="161"/>
      <c r="C38" s="160"/>
      <c r="D38" s="161"/>
      <c r="E38" s="162"/>
      <c r="F38" s="344"/>
      <c r="G38" s="344"/>
      <c r="H38" s="297">
        <f t="shared" si="0"/>
        <v>0</v>
      </c>
      <c r="I38" s="297">
        <f t="shared" si="1"/>
        <v>0</v>
      </c>
      <c r="J38" s="297">
        <f t="shared" si="2"/>
        <v>0</v>
      </c>
      <c r="K38" s="297">
        <f t="shared" si="3"/>
        <v>0</v>
      </c>
      <c r="L38" s="297">
        <f t="shared" si="4"/>
        <v>0</v>
      </c>
      <c r="M38" s="297">
        <f t="shared" si="5"/>
        <v>0</v>
      </c>
      <c r="N38" s="297">
        <f t="shared" si="6"/>
        <v>0</v>
      </c>
      <c r="O38" s="297">
        <f t="shared" si="7"/>
        <v>0</v>
      </c>
      <c r="P38" s="297">
        <f t="shared" si="8"/>
        <v>0</v>
      </c>
      <c r="Q38" s="297">
        <f t="shared" si="9"/>
        <v>0</v>
      </c>
      <c r="R38" s="297">
        <f t="shared" si="10"/>
        <v>0</v>
      </c>
      <c r="S38" s="297">
        <f t="shared" si="11"/>
        <v>0</v>
      </c>
      <c r="T38" s="297">
        <f t="shared" si="12"/>
        <v>0</v>
      </c>
      <c r="U38" s="297">
        <f t="shared" si="13"/>
        <v>0</v>
      </c>
      <c r="V38" s="297">
        <f t="shared" si="14"/>
        <v>0</v>
      </c>
      <c r="W38" s="297">
        <f t="shared" si="15"/>
        <v>0</v>
      </c>
      <c r="X38" s="297">
        <f t="shared" si="16"/>
        <v>0</v>
      </c>
      <c r="Y38" s="297">
        <f t="shared" si="17"/>
        <v>0</v>
      </c>
    </row>
    <row r="39" spans="1:25" ht="13.5" customHeight="1">
      <c r="A39" s="296">
        <v>35</v>
      </c>
      <c r="B39" s="161"/>
      <c r="C39" s="160"/>
      <c r="D39" s="161"/>
      <c r="E39" s="162"/>
      <c r="F39" s="344"/>
      <c r="G39" s="344"/>
      <c r="H39" s="297">
        <f t="shared" si="0"/>
        <v>0</v>
      </c>
      <c r="I39" s="297">
        <f t="shared" si="1"/>
        <v>0</v>
      </c>
      <c r="J39" s="297">
        <f t="shared" si="2"/>
        <v>0</v>
      </c>
      <c r="K39" s="297">
        <f t="shared" si="3"/>
        <v>0</v>
      </c>
      <c r="L39" s="297">
        <f t="shared" si="4"/>
        <v>0</v>
      </c>
      <c r="M39" s="297">
        <f t="shared" si="5"/>
        <v>0</v>
      </c>
      <c r="N39" s="297">
        <f t="shared" si="6"/>
        <v>0</v>
      </c>
      <c r="O39" s="297">
        <f t="shared" si="7"/>
        <v>0</v>
      </c>
      <c r="P39" s="297">
        <f t="shared" si="8"/>
        <v>0</v>
      </c>
      <c r="Q39" s="297">
        <f t="shared" si="9"/>
        <v>0</v>
      </c>
      <c r="R39" s="297">
        <f t="shared" si="10"/>
        <v>0</v>
      </c>
      <c r="S39" s="297">
        <f t="shared" si="11"/>
        <v>0</v>
      </c>
      <c r="T39" s="297">
        <f t="shared" si="12"/>
        <v>0</v>
      </c>
      <c r="U39" s="297">
        <f t="shared" si="13"/>
        <v>0</v>
      </c>
      <c r="V39" s="297">
        <f t="shared" si="14"/>
        <v>0</v>
      </c>
      <c r="W39" s="297">
        <f t="shared" si="15"/>
        <v>0</v>
      </c>
      <c r="X39" s="297">
        <f t="shared" si="16"/>
        <v>0</v>
      </c>
      <c r="Y39" s="297">
        <f t="shared" si="17"/>
        <v>0</v>
      </c>
    </row>
    <row r="40" spans="1:25" ht="13.5" customHeight="1">
      <c r="A40" s="296">
        <v>36</v>
      </c>
      <c r="B40" s="161"/>
      <c r="C40" s="160"/>
      <c r="D40" s="161"/>
      <c r="E40" s="162"/>
      <c r="F40" s="344"/>
      <c r="G40" s="344"/>
      <c r="H40" s="297">
        <f t="shared" si="0"/>
        <v>0</v>
      </c>
      <c r="I40" s="297">
        <f t="shared" si="1"/>
        <v>0</v>
      </c>
      <c r="J40" s="297">
        <f t="shared" si="2"/>
        <v>0</v>
      </c>
      <c r="K40" s="297">
        <f t="shared" si="3"/>
        <v>0</v>
      </c>
      <c r="L40" s="297">
        <f t="shared" si="4"/>
        <v>0</v>
      </c>
      <c r="M40" s="297">
        <f t="shared" si="5"/>
        <v>0</v>
      </c>
      <c r="N40" s="297">
        <f t="shared" si="6"/>
        <v>0</v>
      </c>
      <c r="O40" s="297">
        <f t="shared" si="7"/>
        <v>0</v>
      </c>
      <c r="P40" s="297">
        <f t="shared" si="8"/>
        <v>0</v>
      </c>
      <c r="Q40" s="297">
        <f t="shared" si="9"/>
        <v>0</v>
      </c>
      <c r="R40" s="297">
        <f t="shared" si="10"/>
        <v>0</v>
      </c>
      <c r="S40" s="297">
        <f t="shared" si="11"/>
        <v>0</v>
      </c>
      <c r="T40" s="297">
        <f t="shared" si="12"/>
        <v>0</v>
      </c>
      <c r="U40" s="297">
        <f t="shared" si="13"/>
        <v>0</v>
      </c>
      <c r="V40" s="297">
        <f t="shared" si="14"/>
        <v>0</v>
      </c>
      <c r="W40" s="297">
        <f t="shared" si="15"/>
        <v>0</v>
      </c>
      <c r="X40" s="297">
        <f t="shared" si="16"/>
        <v>0</v>
      </c>
      <c r="Y40" s="297">
        <f t="shared" si="17"/>
        <v>0</v>
      </c>
    </row>
    <row r="41" spans="1:25" ht="13.5" customHeight="1">
      <c r="A41" s="296">
        <v>37</v>
      </c>
      <c r="B41" s="161"/>
      <c r="C41" s="160"/>
      <c r="D41" s="161"/>
      <c r="E41" s="162"/>
      <c r="F41" s="344"/>
      <c r="G41" s="344"/>
      <c r="H41" s="297">
        <f t="shared" si="0"/>
        <v>0</v>
      </c>
      <c r="I41" s="297">
        <f t="shared" si="1"/>
        <v>0</v>
      </c>
      <c r="J41" s="297">
        <f t="shared" si="2"/>
        <v>0</v>
      </c>
      <c r="K41" s="297">
        <f t="shared" si="3"/>
        <v>0</v>
      </c>
      <c r="L41" s="297">
        <f t="shared" si="4"/>
        <v>0</v>
      </c>
      <c r="M41" s="297">
        <f t="shared" si="5"/>
        <v>0</v>
      </c>
      <c r="N41" s="297">
        <f t="shared" si="6"/>
        <v>0</v>
      </c>
      <c r="O41" s="297">
        <f t="shared" si="7"/>
        <v>0</v>
      </c>
      <c r="P41" s="297">
        <f t="shared" si="8"/>
        <v>0</v>
      </c>
      <c r="Q41" s="297">
        <f t="shared" si="9"/>
        <v>0</v>
      </c>
      <c r="R41" s="297">
        <f t="shared" si="10"/>
        <v>0</v>
      </c>
      <c r="S41" s="297">
        <f t="shared" si="11"/>
        <v>0</v>
      </c>
      <c r="T41" s="297">
        <f t="shared" si="12"/>
        <v>0</v>
      </c>
      <c r="U41" s="297">
        <f t="shared" si="13"/>
        <v>0</v>
      </c>
      <c r="V41" s="297">
        <f t="shared" si="14"/>
        <v>0</v>
      </c>
      <c r="W41" s="297">
        <f t="shared" si="15"/>
        <v>0</v>
      </c>
      <c r="X41" s="297">
        <f t="shared" si="16"/>
        <v>0</v>
      </c>
      <c r="Y41" s="297">
        <f aca="true" t="shared" si="18" ref="Y41:Y81">SUM(H41:X41)</f>
        <v>0</v>
      </c>
    </row>
    <row r="42" spans="1:25" ht="13.5" customHeight="1">
      <c r="A42" s="296">
        <v>38</v>
      </c>
      <c r="B42" s="161"/>
      <c r="C42" s="160"/>
      <c r="D42" s="161"/>
      <c r="E42" s="162"/>
      <c r="F42" s="344"/>
      <c r="G42" s="344"/>
      <c r="H42" s="297">
        <f t="shared" si="0"/>
        <v>0</v>
      </c>
      <c r="I42" s="297">
        <f t="shared" si="1"/>
        <v>0</v>
      </c>
      <c r="J42" s="297">
        <f t="shared" si="2"/>
        <v>0</v>
      </c>
      <c r="K42" s="297">
        <f t="shared" si="3"/>
        <v>0</v>
      </c>
      <c r="L42" s="297">
        <f t="shared" si="4"/>
        <v>0</v>
      </c>
      <c r="M42" s="297">
        <f t="shared" si="5"/>
        <v>0</v>
      </c>
      <c r="N42" s="297">
        <f t="shared" si="6"/>
        <v>0</v>
      </c>
      <c r="O42" s="297">
        <f t="shared" si="7"/>
        <v>0</v>
      </c>
      <c r="P42" s="297">
        <f t="shared" si="8"/>
        <v>0</v>
      </c>
      <c r="Q42" s="297">
        <f t="shared" si="9"/>
        <v>0</v>
      </c>
      <c r="R42" s="297">
        <f t="shared" si="10"/>
        <v>0</v>
      </c>
      <c r="S42" s="297">
        <f t="shared" si="11"/>
        <v>0</v>
      </c>
      <c r="T42" s="297">
        <f t="shared" si="12"/>
        <v>0</v>
      </c>
      <c r="U42" s="297">
        <f t="shared" si="13"/>
        <v>0</v>
      </c>
      <c r="V42" s="297">
        <f t="shared" si="14"/>
        <v>0</v>
      </c>
      <c r="W42" s="297">
        <f t="shared" si="15"/>
        <v>0</v>
      </c>
      <c r="X42" s="297">
        <f t="shared" si="16"/>
        <v>0</v>
      </c>
      <c r="Y42" s="297">
        <f t="shared" si="18"/>
        <v>0</v>
      </c>
    </row>
    <row r="43" spans="1:25" ht="13.5" customHeight="1">
      <c r="A43" s="296">
        <v>39</v>
      </c>
      <c r="B43" s="161"/>
      <c r="C43" s="160"/>
      <c r="D43" s="161"/>
      <c r="E43" s="162"/>
      <c r="F43" s="344"/>
      <c r="G43" s="344"/>
      <c r="H43" s="297">
        <f t="shared" si="0"/>
        <v>0</v>
      </c>
      <c r="I43" s="297">
        <f t="shared" si="1"/>
        <v>0</v>
      </c>
      <c r="J43" s="297">
        <f t="shared" si="2"/>
        <v>0</v>
      </c>
      <c r="K43" s="297">
        <f t="shared" si="3"/>
        <v>0</v>
      </c>
      <c r="L43" s="297">
        <f t="shared" si="4"/>
        <v>0</v>
      </c>
      <c r="M43" s="297">
        <f t="shared" si="5"/>
        <v>0</v>
      </c>
      <c r="N43" s="297">
        <f t="shared" si="6"/>
        <v>0</v>
      </c>
      <c r="O43" s="297">
        <f t="shared" si="7"/>
        <v>0</v>
      </c>
      <c r="P43" s="297">
        <f t="shared" si="8"/>
        <v>0</v>
      </c>
      <c r="Q43" s="297">
        <f t="shared" si="9"/>
        <v>0</v>
      </c>
      <c r="R43" s="297">
        <f t="shared" si="10"/>
        <v>0</v>
      </c>
      <c r="S43" s="297">
        <f t="shared" si="11"/>
        <v>0</v>
      </c>
      <c r="T43" s="297">
        <f t="shared" si="12"/>
        <v>0</v>
      </c>
      <c r="U43" s="297">
        <f t="shared" si="13"/>
        <v>0</v>
      </c>
      <c r="V43" s="297">
        <f t="shared" si="14"/>
        <v>0</v>
      </c>
      <c r="W43" s="297">
        <f t="shared" si="15"/>
        <v>0</v>
      </c>
      <c r="X43" s="297">
        <f t="shared" si="16"/>
        <v>0</v>
      </c>
      <c r="Y43" s="297">
        <f t="shared" si="18"/>
        <v>0</v>
      </c>
    </row>
    <row r="44" spans="1:25" ht="13.5" customHeight="1">
      <c r="A44" s="296">
        <v>40</v>
      </c>
      <c r="B44" s="161"/>
      <c r="C44" s="160"/>
      <c r="D44" s="161"/>
      <c r="E44" s="162"/>
      <c r="F44" s="344"/>
      <c r="G44" s="344"/>
      <c r="H44" s="297">
        <f t="shared" si="0"/>
        <v>0</v>
      </c>
      <c r="I44" s="297">
        <f t="shared" si="1"/>
        <v>0</v>
      </c>
      <c r="J44" s="297">
        <f t="shared" si="2"/>
        <v>0</v>
      </c>
      <c r="K44" s="297">
        <f t="shared" si="3"/>
        <v>0</v>
      </c>
      <c r="L44" s="297">
        <f t="shared" si="4"/>
        <v>0</v>
      </c>
      <c r="M44" s="297">
        <f t="shared" si="5"/>
        <v>0</v>
      </c>
      <c r="N44" s="297">
        <f t="shared" si="6"/>
        <v>0</v>
      </c>
      <c r="O44" s="297">
        <f t="shared" si="7"/>
        <v>0</v>
      </c>
      <c r="P44" s="297">
        <f t="shared" si="8"/>
        <v>0</v>
      </c>
      <c r="Q44" s="297">
        <f t="shared" si="9"/>
        <v>0</v>
      </c>
      <c r="R44" s="297">
        <f t="shared" si="10"/>
        <v>0</v>
      </c>
      <c r="S44" s="297">
        <f t="shared" si="11"/>
        <v>0</v>
      </c>
      <c r="T44" s="297">
        <f t="shared" si="12"/>
        <v>0</v>
      </c>
      <c r="U44" s="297">
        <f t="shared" si="13"/>
        <v>0</v>
      </c>
      <c r="V44" s="297">
        <f t="shared" si="14"/>
        <v>0</v>
      </c>
      <c r="W44" s="297">
        <f t="shared" si="15"/>
        <v>0</v>
      </c>
      <c r="X44" s="297">
        <f t="shared" si="16"/>
        <v>0</v>
      </c>
      <c r="Y44" s="297">
        <f t="shared" si="18"/>
        <v>0</v>
      </c>
    </row>
    <row r="45" spans="1:25" ht="13.5" customHeight="1">
      <c r="A45" s="296">
        <v>41</v>
      </c>
      <c r="B45" s="161"/>
      <c r="C45" s="160"/>
      <c r="D45" s="161"/>
      <c r="E45" s="162"/>
      <c r="F45" s="344"/>
      <c r="G45" s="344"/>
      <c r="H45" s="297">
        <f t="shared" si="0"/>
        <v>0</v>
      </c>
      <c r="I45" s="297">
        <f t="shared" si="1"/>
        <v>0</v>
      </c>
      <c r="J45" s="297">
        <f t="shared" si="2"/>
        <v>0</v>
      </c>
      <c r="K45" s="297">
        <f t="shared" si="3"/>
        <v>0</v>
      </c>
      <c r="L45" s="297">
        <f t="shared" si="4"/>
        <v>0</v>
      </c>
      <c r="M45" s="297">
        <f t="shared" si="5"/>
        <v>0</v>
      </c>
      <c r="N45" s="297">
        <f t="shared" si="6"/>
        <v>0</v>
      </c>
      <c r="O45" s="297">
        <f t="shared" si="7"/>
        <v>0</v>
      </c>
      <c r="P45" s="297">
        <f t="shared" si="8"/>
        <v>0</v>
      </c>
      <c r="Q45" s="297">
        <f t="shared" si="9"/>
        <v>0</v>
      </c>
      <c r="R45" s="297">
        <f t="shared" si="10"/>
        <v>0</v>
      </c>
      <c r="S45" s="297">
        <f t="shared" si="11"/>
        <v>0</v>
      </c>
      <c r="T45" s="297">
        <f t="shared" si="12"/>
        <v>0</v>
      </c>
      <c r="U45" s="297">
        <f t="shared" si="13"/>
        <v>0</v>
      </c>
      <c r="V45" s="297">
        <f t="shared" si="14"/>
        <v>0</v>
      </c>
      <c r="W45" s="297">
        <f t="shared" si="15"/>
        <v>0</v>
      </c>
      <c r="X45" s="297">
        <f t="shared" si="16"/>
        <v>0</v>
      </c>
      <c r="Y45" s="297">
        <f t="shared" si="18"/>
        <v>0</v>
      </c>
    </row>
    <row r="46" spans="1:25" ht="13.5" customHeight="1">
      <c r="A46" s="296">
        <v>42</v>
      </c>
      <c r="B46" s="161"/>
      <c r="C46" s="160"/>
      <c r="D46" s="161"/>
      <c r="E46" s="162"/>
      <c r="F46" s="344"/>
      <c r="G46" s="344"/>
      <c r="H46" s="297">
        <f t="shared" si="0"/>
        <v>0</v>
      </c>
      <c r="I46" s="297">
        <f t="shared" si="1"/>
        <v>0</v>
      </c>
      <c r="J46" s="297">
        <f t="shared" si="2"/>
        <v>0</v>
      </c>
      <c r="K46" s="297">
        <f t="shared" si="3"/>
        <v>0</v>
      </c>
      <c r="L46" s="297">
        <f t="shared" si="4"/>
        <v>0</v>
      </c>
      <c r="M46" s="297">
        <f t="shared" si="5"/>
        <v>0</v>
      </c>
      <c r="N46" s="297">
        <f t="shared" si="6"/>
        <v>0</v>
      </c>
      <c r="O46" s="297">
        <f t="shared" si="7"/>
        <v>0</v>
      </c>
      <c r="P46" s="297">
        <f t="shared" si="8"/>
        <v>0</v>
      </c>
      <c r="Q46" s="297">
        <f t="shared" si="9"/>
        <v>0</v>
      </c>
      <c r="R46" s="297">
        <f t="shared" si="10"/>
        <v>0</v>
      </c>
      <c r="S46" s="297">
        <f t="shared" si="11"/>
        <v>0</v>
      </c>
      <c r="T46" s="297">
        <f t="shared" si="12"/>
        <v>0</v>
      </c>
      <c r="U46" s="297">
        <f t="shared" si="13"/>
        <v>0</v>
      </c>
      <c r="V46" s="297">
        <f t="shared" si="14"/>
        <v>0</v>
      </c>
      <c r="W46" s="297">
        <f t="shared" si="15"/>
        <v>0</v>
      </c>
      <c r="X46" s="297">
        <f t="shared" si="16"/>
        <v>0</v>
      </c>
      <c r="Y46" s="297">
        <f t="shared" si="18"/>
        <v>0</v>
      </c>
    </row>
    <row r="47" spans="1:25" ht="13.5" customHeight="1">
      <c r="A47" s="296">
        <v>43</v>
      </c>
      <c r="B47" s="161"/>
      <c r="C47" s="160"/>
      <c r="D47" s="161"/>
      <c r="E47" s="162"/>
      <c r="F47" s="344"/>
      <c r="G47" s="344"/>
      <c r="H47" s="297">
        <f t="shared" si="0"/>
        <v>0</v>
      </c>
      <c r="I47" s="297">
        <f t="shared" si="1"/>
        <v>0</v>
      </c>
      <c r="J47" s="297">
        <f t="shared" si="2"/>
        <v>0</v>
      </c>
      <c r="K47" s="297">
        <f t="shared" si="3"/>
        <v>0</v>
      </c>
      <c r="L47" s="297">
        <f t="shared" si="4"/>
        <v>0</v>
      </c>
      <c r="M47" s="297">
        <f t="shared" si="5"/>
        <v>0</v>
      </c>
      <c r="N47" s="297">
        <f t="shared" si="6"/>
        <v>0</v>
      </c>
      <c r="O47" s="297">
        <f t="shared" si="7"/>
        <v>0</v>
      </c>
      <c r="P47" s="297">
        <f t="shared" si="8"/>
        <v>0</v>
      </c>
      <c r="Q47" s="297">
        <f t="shared" si="9"/>
        <v>0</v>
      </c>
      <c r="R47" s="297">
        <f t="shared" si="10"/>
        <v>0</v>
      </c>
      <c r="S47" s="297">
        <f t="shared" si="11"/>
        <v>0</v>
      </c>
      <c r="T47" s="297">
        <f t="shared" si="12"/>
        <v>0</v>
      </c>
      <c r="U47" s="297">
        <f t="shared" si="13"/>
        <v>0</v>
      </c>
      <c r="V47" s="297">
        <f t="shared" si="14"/>
        <v>0</v>
      </c>
      <c r="W47" s="297">
        <f t="shared" si="15"/>
        <v>0</v>
      </c>
      <c r="X47" s="297">
        <f t="shared" si="16"/>
        <v>0</v>
      </c>
      <c r="Y47" s="297">
        <f t="shared" si="18"/>
        <v>0</v>
      </c>
    </row>
    <row r="48" spans="1:25" ht="13.5" customHeight="1">
      <c r="A48" s="296">
        <v>44</v>
      </c>
      <c r="B48" s="161"/>
      <c r="C48" s="160"/>
      <c r="D48" s="161"/>
      <c r="E48" s="162"/>
      <c r="F48" s="344"/>
      <c r="G48" s="344"/>
      <c r="H48" s="297">
        <f t="shared" si="0"/>
        <v>0</v>
      </c>
      <c r="I48" s="297">
        <f t="shared" si="1"/>
        <v>0</v>
      </c>
      <c r="J48" s="297">
        <f t="shared" si="2"/>
        <v>0</v>
      </c>
      <c r="K48" s="297">
        <f t="shared" si="3"/>
        <v>0</v>
      </c>
      <c r="L48" s="297">
        <f t="shared" si="4"/>
        <v>0</v>
      </c>
      <c r="M48" s="297">
        <f t="shared" si="5"/>
        <v>0</v>
      </c>
      <c r="N48" s="297">
        <f t="shared" si="6"/>
        <v>0</v>
      </c>
      <c r="O48" s="297">
        <f t="shared" si="7"/>
        <v>0</v>
      </c>
      <c r="P48" s="297">
        <f t="shared" si="8"/>
        <v>0</v>
      </c>
      <c r="Q48" s="297">
        <f t="shared" si="9"/>
        <v>0</v>
      </c>
      <c r="R48" s="297">
        <f t="shared" si="10"/>
        <v>0</v>
      </c>
      <c r="S48" s="297">
        <f t="shared" si="11"/>
        <v>0</v>
      </c>
      <c r="T48" s="297">
        <f t="shared" si="12"/>
        <v>0</v>
      </c>
      <c r="U48" s="297">
        <f t="shared" si="13"/>
        <v>0</v>
      </c>
      <c r="V48" s="297">
        <f t="shared" si="14"/>
        <v>0</v>
      </c>
      <c r="W48" s="297">
        <f t="shared" si="15"/>
        <v>0</v>
      </c>
      <c r="X48" s="297">
        <f t="shared" si="16"/>
        <v>0</v>
      </c>
      <c r="Y48" s="297">
        <f t="shared" si="18"/>
        <v>0</v>
      </c>
    </row>
    <row r="49" spans="1:25" ht="13.5" customHeight="1">
      <c r="A49" s="296">
        <v>45</v>
      </c>
      <c r="B49" s="161"/>
      <c r="C49" s="160"/>
      <c r="D49" s="161"/>
      <c r="E49" s="162"/>
      <c r="F49" s="344"/>
      <c r="G49" s="344"/>
      <c r="H49" s="297">
        <f t="shared" si="0"/>
        <v>0</v>
      </c>
      <c r="I49" s="297">
        <f t="shared" si="1"/>
        <v>0</v>
      </c>
      <c r="J49" s="297">
        <f t="shared" si="2"/>
        <v>0</v>
      </c>
      <c r="K49" s="297">
        <f t="shared" si="3"/>
        <v>0</v>
      </c>
      <c r="L49" s="297">
        <f t="shared" si="4"/>
        <v>0</v>
      </c>
      <c r="M49" s="297">
        <f t="shared" si="5"/>
        <v>0</v>
      </c>
      <c r="N49" s="297">
        <f t="shared" si="6"/>
        <v>0</v>
      </c>
      <c r="O49" s="297">
        <f t="shared" si="7"/>
        <v>0</v>
      </c>
      <c r="P49" s="297">
        <f t="shared" si="8"/>
        <v>0</v>
      </c>
      <c r="Q49" s="297">
        <f t="shared" si="9"/>
        <v>0</v>
      </c>
      <c r="R49" s="297">
        <f t="shared" si="10"/>
        <v>0</v>
      </c>
      <c r="S49" s="297">
        <f t="shared" si="11"/>
        <v>0</v>
      </c>
      <c r="T49" s="297">
        <f t="shared" si="12"/>
        <v>0</v>
      </c>
      <c r="U49" s="297">
        <f t="shared" si="13"/>
        <v>0</v>
      </c>
      <c r="V49" s="297">
        <f t="shared" si="14"/>
        <v>0</v>
      </c>
      <c r="W49" s="297">
        <f t="shared" si="15"/>
        <v>0</v>
      </c>
      <c r="X49" s="297">
        <f t="shared" si="16"/>
        <v>0</v>
      </c>
      <c r="Y49" s="297">
        <f t="shared" si="18"/>
        <v>0</v>
      </c>
    </row>
    <row r="50" spans="1:25" ht="13.5" customHeight="1">
      <c r="A50" s="296">
        <v>46</v>
      </c>
      <c r="B50" s="161"/>
      <c r="C50" s="160"/>
      <c r="D50" s="161"/>
      <c r="E50" s="162"/>
      <c r="F50" s="344"/>
      <c r="G50" s="344"/>
      <c r="H50" s="297">
        <f t="shared" si="0"/>
        <v>0</v>
      </c>
      <c r="I50" s="297">
        <f t="shared" si="1"/>
        <v>0</v>
      </c>
      <c r="J50" s="297">
        <f t="shared" si="2"/>
        <v>0</v>
      </c>
      <c r="K50" s="297">
        <f t="shared" si="3"/>
        <v>0</v>
      </c>
      <c r="L50" s="297">
        <f t="shared" si="4"/>
        <v>0</v>
      </c>
      <c r="M50" s="297">
        <f t="shared" si="5"/>
        <v>0</v>
      </c>
      <c r="N50" s="297">
        <f t="shared" si="6"/>
        <v>0</v>
      </c>
      <c r="O50" s="297">
        <f t="shared" si="7"/>
        <v>0</v>
      </c>
      <c r="P50" s="297">
        <f t="shared" si="8"/>
        <v>0</v>
      </c>
      <c r="Q50" s="297">
        <f t="shared" si="9"/>
        <v>0</v>
      </c>
      <c r="R50" s="297">
        <f t="shared" si="10"/>
        <v>0</v>
      </c>
      <c r="S50" s="297">
        <f t="shared" si="11"/>
        <v>0</v>
      </c>
      <c r="T50" s="297">
        <f t="shared" si="12"/>
        <v>0</v>
      </c>
      <c r="U50" s="297">
        <f t="shared" si="13"/>
        <v>0</v>
      </c>
      <c r="V50" s="297">
        <f t="shared" si="14"/>
        <v>0</v>
      </c>
      <c r="W50" s="297">
        <f t="shared" si="15"/>
        <v>0</v>
      </c>
      <c r="X50" s="297">
        <f t="shared" si="16"/>
        <v>0</v>
      </c>
      <c r="Y50" s="297">
        <f t="shared" si="18"/>
        <v>0</v>
      </c>
    </row>
    <row r="51" spans="1:25" ht="13.5" customHeight="1">
      <c r="A51" s="296">
        <v>47</v>
      </c>
      <c r="B51" s="161"/>
      <c r="C51" s="160"/>
      <c r="D51" s="161"/>
      <c r="E51" s="162"/>
      <c r="F51" s="344"/>
      <c r="G51" s="344"/>
      <c r="H51" s="297">
        <f t="shared" si="0"/>
        <v>0</v>
      </c>
      <c r="I51" s="297">
        <f t="shared" si="1"/>
        <v>0</v>
      </c>
      <c r="J51" s="297">
        <f t="shared" si="2"/>
        <v>0</v>
      </c>
      <c r="K51" s="297">
        <f t="shared" si="3"/>
        <v>0</v>
      </c>
      <c r="L51" s="297">
        <f t="shared" si="4"/>
        <v>0</v>
      </c>
      <c r="M51" s="297">
        <f t="shared" si="5"/>
        <v>0</v>
      </c>
      <c r="N51" s="297">
        <f t="shared" si="6"/>
        <v>0</v>
      </c>
      <c r="O51" s="297">
        <f t="shared" si="7"/>
        <v>0</v>
      </c>
      <c r="P51" s="297">
        <f t="shared" si="8"/>
        <v>0</v>
      </c>
      <c r="Q51" s="297">
        <f t="shared" si="9"/>
        <v>0</v>
      </c>
      <c r="R51" s="297">
        <f t="shared" si="10"/>
        <v>0</v>
      </c>
      <c r="S51" s="297">
        <f t="shared" si="11"/>
        <v>0</v>
      </c>
      <c r="T51" s="297">
        <f t="shared" si="12"/>
        <v>0</v>
      </c>
      <c r="U51" s="297">
        <f t="shared" si="13"/>
        <v>0</v>
      </c>
      <c r="V51" s="297">
        <f t="shared" si="14"/>
        <v>0</v>
      </c>
      <c r="W51" s="297">
        <f t="shared" si="15"/>
        <v>0</v>
      </c>
      <c r="X51" s="297">
        <f t="shared" si="16"/>
        <v>0</v>
      </c>
      <c r="Y51" s="297">
        <f t="shared" si="18"/>
        <v>0</v>
      </c>
    </row>
    <row r="52" spans="1:25" ht="13.5" customHeight="1">
      <c r="A52" s="296">
        <v>48</v>
      </c>
      <c r="B52" s="161"/>
      <c r="C52" s="160"/>
      <c r="D52" s="161"/>
      <c r="E52" s="162"/>
      <c r="F52" s="344"/>
      <c r="G52" s="344"/>
      <c r="H52" s="297">
        <f t="shared" si="0"/>
        <v>0</v>
      </c>
      <c r="I52" s="297">
        <f t="shared" si="1"/>
        <v>0</v>
      </c>
      <c r="J52" s="297">
        <f t="shared" si="2"/>
        <v>0</v>
      </c>
      <c r="K52" s="297">
        <f t="shared" si="3"/>
        <v>0</v>
      </c>
      <c r="L52" s="297">
        <f t="shared" si="4"/>
        <v>0</v>
      </c>
      <c r="M52" s="297">
        <f t="shared" si="5"/>
        <v>0</v>
      </c>
      <c r="N52" s="297">
        <f t="shared" si="6"/>
        <v>0</v>
      </c>
      <c r="O52" s="297">
        <f t="shared" si="7"/>
        <v>0</v>
      </c>
      <c r="P52" s="297">
        <f t="shared" si="8"/>
        <v>0</v>
      </c>
      <c r="Q52" s="297">
        <f t="shared" si="9"/>
        <v>0</v>
      </c>
      <c r="R52" s="297">
        <f t="shared" si="10"/>
        <v>0</v>
      </c>
      <c r="S52" s="297">
        <f t="shared" si="11"/>
        <v>0</v>
      </c>
      <c r="T52" s="297">
        <f t="shared" si="12"/>
        <v>0</v>
      </c>
      <c r="U52" s="297">
        <f t="shared" si="13"/>
        <v>0</v>
      </c>
      <c r="V52" s="297">
        <f t="shared" si="14"/>
        <v>0</v>
      </c>
      <c r="W52" s="297">
        <f t="shared" si="15"/>
        <v>0</v>
      </c>
      <c r="X52" s="297">
        <f t="shared" si="16"/>
        <v>0</v>
      </c>
      <c r="Y52" s="297">
        <f t="shared" si="18"/>
        <v>0</v>
      </c>
    </row>
    <row r="53" spans="1:25" ht="13.5" customHeight="1">
      <c r="A53" s="296">
        <v>49</v>
      </c>
      <c r="B53" s="161"/>
      <c r="C53" s="160"/>
      <c r="D53" s="161"/>
      <c r="E53" s="162"/>
      <c r="F53" s="344"/>
      <c r="G53" s="344"/>
      <c r="H53" s="297">
        <f t="shared" si="0"/>
        <v>0</v>
      </c>
      <c r="I53" s="297">
        <f t="shared" si="1"/>
        <v>0</v>
      </c>
      <c r="J53" s="297">
        <f t="shared" si="2"/>
        <v>0</v>
      </c>
      <c r="K53" s="297">
        <f t="shared" si="3"/>
        <v>0</v>
      </c>
      <c r="L53" s="297">
        <f t="shared" si="4"/>
        <v>0</v>
      </c>
      <c r="M53" s="297">
        <f t="shared" si="5"/>
        <v>0</v>
      </c>
      <c r="N53" s="297">
        <f t="shared" si="6"/>
        <v>0</v>
      </c>
      <c r="O53" s="297">
        <f t="shared" si="7"/>
        <v>0</v>
      </c>
      <c r="P53" s="297">
        <f t="shared" si="8"/>
        <v>0</v>
      </c>
      <c r="Q53" s="297">
        <f t="shared" si="9"/>
        <v>0</v>
      </c>
      <c r="R53" s="297">
        <f t="shared" si="10"/>
        <v>0</v>
      </c>
      <c r="S53" s="297">
        <f t="shared" si="11"/>
        <v>0</v>
      </c>
      <c r="T53" s="297">
        <f t="shared" si="12"/>
        <v>0</v>
      </c>
      <c r="U53" s="297">
        <f t="shared" si="13"/>
        <v>0</v>
      </c>
      <c r="V53" s="297">
        <f t="shared" si="14"/>
        <v>0</v>
      </c>
      <c r="W53" s="297">
        <f t="shared" si="15"/>
        <v>0</v>
      </c>
      <c r="X53" s="297">
        <f t="shared" si="16"/>
        <v>0</v>
      </c>
      <c r="Y53" s="297">
        <f t="shared" si="18"/>
        <v>0</v>
      </c>
    </row>
    <row r="54" spans="1:25" ht="13.5" customHeight="1">
      <c r="A54" s="296">
        <v>50</v>
      </c>
      <c r="B54" s="161"/>
      <c r="C54" s="160"/>
      <c r="D54" s="161"/>
      <c r="E54" s="162"/>
      <c r="F54" s="344"/>
      <c r="G54" s="344"/>
      <c r="H54" s="297">
        <f t="shared" si="0"/>
        <v>0</v>
      </c>
      <c r="I54" s="297">
        <f t="shared" si="1"/>
        <v>0</v>
      </c>
      <c r="J54" s="297">
        <f t="shared" si="2"/>
        <v>0</v>
      </c>
      <c r="K54" s="297">
        <f t="shared" si="3"/>
        <v>0</v>
      </c>
      <c r="L54" s="297">
        <f t="shared" si="4"/>
        <v>0</v>
      </c>
      <c r="M54" s="297">
        <f t="shared" si="5"/>
        <v>0</v>
      </c>
      <c r="N54" s="297">
        <f t="shared" si="6"/>
        <v>0</v>
      </c>
      <c r="O54" s="297">
        <f t="shared" si="7"/>
        <v>0</v>
      </c>
      <c r="P54" s="297">
        <f t="shared" si="8"/>
        <v>0</v>
      </c>
      <c r="Q54" s="297">
        <f t="shared" si="9"/>
        <v>0</v>
      </c>
      <c r="R54" s="297">
        <f t="shared" si="10"/>
        <v>0</v>
      </c>
      <c r="S54" s="297">
        <f t="shared" si="11"/>
        <v>0</v>
      </c>
      <c r="T54" s="297">
        <f t="shared" si="12"/>
        <v>0</v>
      </c>
      <c r="U54" s="297">
        <f t="shared" si="13"/>
        <v>0</v>
      </c>
      <c r="V54" s="297">
        <f t="shared" si="14"/>
        <v>0</v>
      </c>
      <c r="W54" s="297">
        <f t="shared" si="15"/>
        <v>0</v>
      </c>
      <c r="X54" s="297">
        <f t="shared" si="16"/>
        <v>0</v>
      </c>
      <c r="Y54" s="297">
        <f t="shared" si="18"/>
        <v>0</v>
      </c>
    </row>
    <row r="55" spans="1:25" ht="13.5" customHeight="1">
      <c r="A55" s="296">
        <v>51</v>
      </c>
      <c r="B55" s="161"/>
      <c r="C55" s="160"/>
      <c r="D55" s="161"/>
      <c r="E55" s="162"/>
      <c r="F55" s="344"/>
      <c r="G55" s="344"/>
      <c r="H55" s="297">
        <f t="shared" si="0"/>
        <v>0</v>
      </c>
      <c r="I55" s="297">
        <f t="shared" si="1"/>
        <v>0</v>
      </c>
      <c r="J55" s="297">
        <f t="shared" si="2"/>
        <v>0</v>
      </c>
      <c r="K55" s="297">
        <f t="shared" si="3"/>
        <v>0</v>
      </c>
      <c r="L55" s="297">
        <f t="shared" si="4"/>
        <v>0</v>
      </c>
      <c r="M55" s="297">
        <f t="shared" si="5"/>
        <v>0</v>
      </c>
      <c r="N55" s="297">
        <f t="shared" si="6"/>
        <v>0</v>
      </c>
      <c r="O55" s="297">
        <f t="shared" si="7"/>
        <v>0</v>
      </c>
      <c r="P55" s="297">
        <f t="shared" si="8"/>
        <v>0</v>
      </c>
      <c r="Q55" s="297">
        <f t="shared" si="9"/>
        <v>0</v>
      </c>
      <c r="R55" s="297">
        <f t="shared" si="10"/>
        <v>0</v>
      </c>
      <c r="S55" s="297">
        <f t="shared" si="11"/>
        <v>0</v>
      </c>
      <c r="T55" s="297">
        <f t="shared" si="12"/>
        <v>0</v>
      </c>
      <c r="U55" s="297">
        <f t="shared" si="13"/>
        <v>0</v>
      </c>
      <c r="V55" s="297">
        <f t="shared" si="14"/>
        <v>0</v>
      </c>
      <c r="W55" s="297">
        <f t="shared" si="15"/>
        <v>0</v>
      </c>
      <c r="X55" s="297">
        <f t="shared" si="16"/>
        <v>0</v>
      </c>
      <c r="Y55" s="297">
        <f t="shared" si="18"/>
        <v>0</v>
      </c>
    </row>
    <row r="56" spans="1:25" ht="13.5" customHeight="1">
      <c r="A56" s="296">
        <v>52</v>
      </c>
      <c r="B56" s="161"/>
      <c r="C56" s="160"/>
      <c r="D56" s="161"/>
      <c r="E56" s="162"/>
      <c r="F56" s="344"/>
      <c r="G56" s="344"/>
      <c r="H56" s="297">
        <f t="shared" si="0"/>
        <v>0</v>
      </c>
      <c r="I56" s="297">
        <f t="shared" si="1"/>
        <v>0</v>
      </c>
      <c r="J56" s="297">
        <f t="shared" si="2"/>
        <v>0</v>
      </c>
      <c r="K56" s="297">
        <f t="shared" si="3"/>
        <v>0</v>
      </c>
      <c r="L56" s="297">
        <f t="shared" si="4"/>
        <v>0</v>
      </c>
      <c r="M56" s="297">
        <f t="shared" si="5"/>
        <v>0</v>
      </c>
      <c r="N56" s="297">
        <f t="shared" si="6"/>
        <v>0</v>
      </c>
      <c r="O56" s="297">
        <f t="shared" si="7"/>
        <v>0</v>
      </c>
      <c r="P56" s="297">
        <f t="shared" si="8"/>
        <v>0</v>
      </c>
      <c r="Q56" s="297">
        <f t="shared" si="9"/>
        <v>0</v>
      </c>
      <c r="R56" s="297">
        <f t="shared" si="10"/>
        <v>0</v>
      </c>
      <c r="S56" s="297">
        <f t="shared" si="11"/>
        <v>0</v>
      </c>
      <c r="T56" s="297">
        <f t="shared" si="12"/>
        <v>0</v>
      </c>
      <c r="U56" s="297">
        <f t="shared" si="13"/>
        <v>0</v>
      </c>
      <c r="V56" s="297">
        <f t="shared" si="14"/>
        <v>0</v>
      </c>
      <c r="W56" s="297">
        <f t="shared" si="15"/>
        <v>0</v>
      </c>
      <c r="X56" s="297">
        <f t="shared" si="16"/>
        <v>0</v>
      </c>
      <c r="Y56" s="297">
        <f t="shared" si="18"/>
        <v>0</v>
      </c>
    </row>
    <row r="57" spans="1:25" ht="13.5" customHeight="1">
      <c r="A57" s="296">
        <v>53</v>
      </c>
      <c r="B57" s="161"/>
      <c r="C57" s="160"/>
      <c r="D57" s="161"/>
      <c r="E57" s="162"/>
      <c r="F57" s="344"/>
      <c r="G57" s="344"/>
      <c r="H57" s="297">
        <f t="shared" si="0"/>
        <v>0</v>
      </c>
      <c r="I57" s="297">
        <f t="shared" si="1"/>
        <v>0</v>
      </c>
      <c r="J57" s="297">
        <f t="shared" si="2"/>
        <v>0</v>
      </c>
      <c r="K57" s="297">
        <f t="shared" si="3"/>
        <v>0</v>
      </c>
      <c r="L57" s="297">
        <f t="shared" si="4"/>
        <v>0</v>
      </c>
      <c r="M57" s="297">
        <f t="shared" si="5"/>
        <v>0</v>
      </c>
      <c r="N57" s="297">
        <f t="shared" si="6"/>
        <v>0</v>
      </c>
      <c r="O57" s="297">
        <f t="shared" si="7"/>
        <v>0</v>
      </c>
      <c r="P57" s="297">
        <f t="shared" si="8"/>
        <v>0</v>
      </c>
      <c r="Q57" s="297">
        <f t="shared" si="9"/>
        <v>0</v>
      </c>
      <c r="R57" s="297">
        <f t="shared" si="10"/>
        <v>0</v>
      </c>
      <c r="S57" s="297">
        <f t="shared" si="11"/>
        <v>0</v>
      </c>
      <c r="T57" s="297">
        <f t="shared" si="12"/>
        <v>0</v>
      </c>
      <c r="U57" s="297">
        <f t="shared" si="13"/>
        <v>0</v>
      </c>
      <c r="V57" s="297">
        <f t="shared" si="14"/>
        <v>0</v>
      </c>
      <c r="W57" s="297">
        <f t="shared" si="15"/>
        <v>0</v>
      </c>
      <c r="X57" s="297">
        <f t="shared" si="16"/>
        <v>0</v>
      </c>
      <c r="Y57" s="297">
        <f t="shared" si="18"/>
        <v>0</v>
      </c>
    </row>
    <row r="58" spans="1:25" ht="13.5" customHeight="1">
      <c r="A58" s="296">
        <v>54</v>
      </c>
      <c r="B58" s="161"/>
      <c r="C58" s="160"/>
      <c r="D58" s="161"/>
      <c r="E58" s="162"/>
      <c r="F58" s="344"/>
      <c r="G58" s="344"/>
      <c r="H58" s="297">
        <f t="shared" si="0"/>
        <v>0</v>
      </c>
      <c r="I58" s="297">
        <f t="shared" si="1"/>
        <v>0</v>
      </c>
      <c r="J58" s="297">
        <f t="shared" si="2"/>
        <v>0</v>
      </c>
      <c r="K58" s="297">
        <f t="shared" si="3"/>
        <v>0</v>
      </c>
      <c r="L58" s="297">
        <f t="shared" si="4"/>
        <v>0</v>
      </c>
      <c r="M58" s="297">
        <f t="shared" si="5"/>
        <v>0</v>
      </c>
      <c r="N58" s="297">
        <f t="shared" si="6"/>
        <v>0</v>
      </c>
      <c r="O58" s="297">
        <f t="shared" si="7"/>
        <v>0</v>
      </c>
      <c r="P58" s="297">
        <f t="shared" si="8"/>
        <v>0</v>
      </c>
      <c r="Q58" s="297">
        <f t="shared" si="9"/>
        <v>0</v>
      </c>
      <c r="R58" s="297">
        <f t="shared" si="10"/>
        <v>0</v>
      </c>
      <c r="S58" s="297">
        <f t="shared" si="11"/>
        <v>0</v>
      </c>
      <c r="T58" s="297">
        <f t="shared" si="12"/>
        <v>0</v>
      </c>
      <c r="U58" s="297">
        <f t="shared" si="13"/>
        <v>0</v>
      </c>
      <c r="V58" s="297">
        <f t="shared" si="14"/>
        <v>0</v>
      </c>
      <c r="W58" s="297">
        <f t="shared" si="15"/>
        <v>0</v>
      </c>
      <c r="X58" s="297">
        <f t="shared" si="16"/>
        <v>0</v>
      </c>
      <c r="Y58" s="297">
        <f t="shared" si="18"/>
        <v>0</v>
      </c>
    </row>
    <row r="59" spans="1:25" ht="13.5" customHeight="1">
      <c r="A59" s="296">
        <v>55</v>
      </c>
      <c r="B59" s="161"/>
      <c r="C59" s="160"/>
      <c r="D59" s="161"/>
      <c r="E59" s="162"/>
      <c r="F59" s="344"/>
      <c r="G59" s="344"/>
      <c r="H59" s="297">
        <f t="shared" si="0"/>
        <v>0</v>
      </c>
      <c r="I59" s="297">
        <f t="shared" si="1"/>
        <v>0</v>
      </c>
      <c r="J59" s="297">
        <f t="shared" si="2"/>
        <v>0</v>
      </c>
      <c r="K59" s="297">
        <f t="shared" si="3"/>
        <v>0</v>
      </c>
      <c r="L59" s="297">
        <f t="shared" si="4"/>
        <v>0</v>
      </c>
      <c r="M59" s="297">
        <f t="shared" si="5"/>
        <v>0</v>
      </c>
      <c r="N59" s="297">
        <f t="shared" si="6"/>
        <v>0</v>
      </c>
      <c r="O59" s="297">
        <f t="shared" si="7"/>
        <v>0</v>
      </c>
      <c r="P59" s="297">
        <f t="shared" si="8"/>
        <v>0</v>
      </c>
      <c r="Q59" s="297">
        <f t="shared" si="9"/>
        <v>0</v>
      </c>
      <c r="R59" s="297">
        <f t="shared" si="10"/>
        <v>0</v>
      </c>
      <c r="S59" s="297">
        <f t="shared" si="11"/>
        <v>0</v>
      </c>
      <c r="T59" s="297">
        <f t="shared" si="12"/>
        <v>0</v>
      </c>
      <c r="U59" s="297">
        <f t="shared" si="13"/>
        <v>0</v>
      </c>
      <c r="V59" s="297">
        <f t="shared" si="14"/>
        <v>0</v>
      </c>
      <c r="W59" s="297">
        <f t="shared" si="15"/>
        <v>0</v>
      </c>
      <c r="X59" s="297">
        <f t="shared" si="16"/>
        <v>0</v>
      </c>
      <c r="Y59" s="297">
        <f t="shared" si="18"/>
        <v>0</v>
      </c>
    </row>
    <row r="60" spans="1:25" ht="13.5" customHeight="1">
      <c r="A60" s="296">
        <v>56</v>
      </c>
      <c r="B60" s="161"/>
      <c r="C60" s="160"/>
      <c r="D60" s="161"/>
      <c r="E60" s="162"/>
      <c r="F60" s="344"/>
      <c r="G60" s="344"/>
      <c r="H60" s="297">
        <f t="shared" si="0"/>
        <v>0</v>
      </c>
      <c r="I60" s="297">
        <f t="shared" si="1"/>
        <v>0</v>
      </c>
      <c r="J60" s="297">
        <f t="shared" si="2"/>
        <v>0</v>
      </c>
      <c r="K60" s="297">
        <f t="shared" si="3"/>
        <v>0</v>
      </c>
      <c r="L60" s="297">
        <f t="shared" si="4"/>
        <v>0</v>
      </c>
      <c r="M60" s="297">
        <f t="shared" si="5"/>
        <v>0</v>
      </c>
      <c r="N60" s="297">
        <f t="shared" si="6"/>
        <v>0</v>
      </c>
      <c r="O60" s="297">
        <f t="shared" si="7"/>
        <v>0</v>
      </c>
      <c r="P60" s="297">
        <f t="shared" si="8"/>
        <v>0</v>
      </c>
      <c r="Q60" s="297">
        <f t="shared" si="9"/>
        <v>0</v>
      </c>
      <c r="R60" s="297">
        <f t="shared" si="10"/>
        <v>0</v>
      </c>
      <c r="S60" s="297">
        <f t="shared" si="11"/>
        <v>0</v>
      </c>
      <c r="T60" s="297">
        <f t="shared" si="12"/>
        <v>0</v>
      </c>
      <c r="U60" s="297">
        <f t="shared" si="13"/>
        <v>0</v>
      </c>
      <c r="V60" s="297">
        <f t="shared" si="14"/>
        <v>0</v>
      </c>
      <c r="W60" s="297">
        <f t="shared" si="15"/>
        <v>0</v>
      </c>
      <c r="X60" s="297">
        <f t="shared" si="16"/>
        <v>0</v>
      </c>
      <c r="Y60" s="297">
        <f t="shared" si="18"/>
        <v>0</v>
      </c>
    </row>
    <row r="61" spans="1:25" ht="13.5" customHeight="1">
      <c r="A61" s="296">
        <v>57</v>
      </c>
      <c r="B61" s="161"/>
      <c r="C61" s="160"/>
      <c r="D61" s="161"/>
      <c r="E61" s="162"/>
      <c r="F61" s="344"/>
      <c r="G61" s="344"/>
      <c r="H61" s="297">
        <f t="shared" si="0"/>
        <v>0</v>
      </c>
      <c r="I61" s="297">
        <f t="shared" si="1"/>
        <v>0</v>
      </c>
      <c r="J61" s="297">
        <f t="shared" si="2"/>
        <v>0</v>
      </c>
      <c r="K61" s="297">
        <f t="shared" si="3"/>
        <v>0</v>
      </c>
      <c r="L61" s="297">
        <f t="shared" si="4"/>
        <v>0</v>
      </c>
      <c r="M61" s="297">
        <f t="shared" si="5"/>
        <v>0</v>
      </c>
      <c r="N61" s="297">
        <f t="shared" si="6"/>
        <v>0</v>
      </c>
      <c r="O61" s="297">
        <f t="shared" si="7"/>
        <v>0</v>
      </c>
      <c r="P61" s="297">
        <f t="shared" si="8"/>
        <v>0</v>
      </c>
      <c r="Q61" s="297">
        <f t="shared" si="9"/>
        <v>0</v>
      </c>
      <c r="R61" s="297">
        <f t="shared" si="10"/>
        <v>0</v>
      </c>
      <c r="S61" s="297">
        <f t="shared" si="11"/>
        <v>0</v>
      </c>
      <c r="T61" s="297">
        <f t="shared" si="12"/>
        <v>0</v>
      </c>
      <c r="U61" s="297">
        <f t="shared" si="13"/>
        <v>0</v>
      </c>
      <c r="V61" s="297">
        <f t="shared" si="14"/>
        <v>0</v>
      </c>
      <c r="W61" s="297">
        <f t="shared" si="15"/>
        <v>0</v>
      </c>
      <c r="X61" s="297">
        <f t="shared" si="16"/>
        <v>0</v>
      </c>
      <c r="Y61" s="297">
        <f t="shared" si="18"/>
        <v>0</v>
      </c>
    </row>
    <row r="62" spans="1:25" ht="13.5" customHeight="1">
      <c r="A62" s="296">
        <v>58</v>
      </c>
      <c r="B62" s="161"/>
      <c r="C62" s="160"/>
      <c r="D62" s="161"/>
      <c r="E62" s="162"/>
      <c r="F62" s="344"/>
      <c r="G62" s="344"/>
      <c r="H62" s="297">
        <f t="shared" si="0"/>
        <v>0</v>
      </c>
      <c r="I62" s="297">
        <f t="shared" si="1"/>
        <v>0</v>
      </c>
      <c r="J62" s="297">
        <f t="shared" si="2"/>
        <v>0</v>
      </c>
      <c r="K62" s="297">
        <f t="shared" si="3"/>
        <v>0</v>
      </c>
      <c r="L62" s="297">
        <f t="shared" si="4"/>
        <v>0</v>
      </c>
      <c r="M62" s="297">
        <f t="shared" si="5"/>
        <v>0</v>
      </c>
      <c r="N62" s="297">
        <f t="shared" si="6"/>
        <v>0</v>
      </c>
      <c r="O62" s="297">
        <f t="shared" si="7"/>
        <v>0</v>
      </c>
      <c r="P62" s="297">
        <f t="shared" si="8"/>
        <v>0</v>
      </c>
      <c r="Q62" s="297">
        <f t="shared" si="9"/>
        <v>0</v>
      </c>
      <c r="R62" s="297">
        <f t="shared" si="10"/>
        <v>0</v>
      </c>
      <c r="S62" s="297">
        <f t="shared" si="11"/>
        <v>0</v>
      </c>
      <c r="T62" s="297">
        <f t="shared" si="12"/>
        <v>0</v>
      </c>
      <c r="U62" s="297">
        <f t="shared" si="13"/>
        <v>0</v>
      </c>
      <c r="V62" s="297">
        <f t="shared" si="14"/>
        <v>0</v>
      </c>
      <c r="W62" s="297">
        <f t="shared" si="15"/>
        <v>0</v>
      </c>
      <c r="X62" s="297">
        <f t="shared" si="16"/>
        <v>0</v>
      </c>
      <c r="Y62" s="297">
        <f t="shared" si="18"/>
        <v>0</v>
      </c>
    </row>
    <row r="63" spans="1:25" ht="13.5" customHeight="1">
      <c r="A63" s="296">
        <v>59</v>
      </c>
      <c r="B63" s="161"/>
      <c r="C63" s="160"/>
      <c r="D63" s="161"/>
      <c r="E63" s="162"/>
      <c r="F63" s="344"/>
      <c r="G63" s="344"/>
      <c r="H63" s="297">
        <f t="shared" si="0"/>
        <v>0</v>
      </c>
      <c r="I63" s="297">
        <f t="shared" si="1"/>
        <v>0</v>
      </c>
      <c r="J63" s="297">
        <f t="shared" si="2"/>
        <v>0</v>
      </c>
      <c r="K63" s="297">
        <f t="shared" si="3"/>
        <v>0</v>
      </c>
      <c r="L63" s="297">
        <f t="shared" si="4"/>
        <v>0</v>
      </c>
      <c r="M63" s="297">
        <f t="shared" si="5"/>
        <v>0</v>
      </c>
      <c r="N63" s="297">
        <f t="shared" si="6"/>
        <v>0</v>
      </c>
      <c r="O63" s="297">
        <f t="shared" si="7"/>
        <v>0</v>
      </c>
      <c r="P63" s="297">
        <f t="shared" si="8"/>
        <v>0</v>
      </c>
      <c r="Q63" s="297">
        <f t="shared" si="9"/>
        <v>0</v>
      </c>
      <c r="R63" s="297">
        <f t="shared" si="10"/>
        <v>0</v>
      </c>
      <c r="S63" s="297">
        <f t="shared" si="11"/>
        <v>0</v>
      </c>
      <c r="T63" s="297">
        <f t="shared" si="12"/>
        <v>0</v>
      </c>
      <c r="U63" s="297">
        <f t="shared" si="13"/>
        <v>0</v>
      </c>
      <c r="V63" s="297">
        <f t="shared" si="14"/>
        <v>0</v>
      </c>
      <c r="W63" s="297">
        <f t="shared" si="15"/>
        <v>0</v>
      </c>
      <c r="X63" s="297">
        <f t="shared" si="16"/>
        <v>0</v>
      </c>
      <c r="Y63" s="297">
        <f t="shared" si="18"/>
        <v>0</v>
      </c>
    </row>
    <row r="64" spans="1:25" ht="13.5" customHeight="1">
      <c r="A64" s="296">
        <v>60</v>
      </c>
      <c r="B64" s="161"/>
      <c r="C64" s="160"/>
      <c r="D64" s="161"/>
      <c r="E64" s="162"/>
      <c r="F64" s="344"/>
      <c r="G64" s="344"/>
      <c r="H64" s="297">
        <f t="shared" si="0"/>
        <v>0</v>
      </c>
      <c r="I64" s="297">
        <f t="shared" si="1"/>
        <v>0</v>
      </c>
      <c r="J64" s="297">
        <f t="shared" si="2"/>
        <v>0</v>
      </c>
      <c r="K64" s="297">
        <f t="shared" si="3"/>
        <v>0</v>
      </c>
      <c r="L64" s="297">
        <f t="shared" si="4"/>
        <v>0</v>
      </c>
      <c r="M64" s="297">
        <f t="shared" si="5"/>
        <v>0</v>
      </c>
      <c r="N64" s="297">
        <f t="shared" si="6"/>
        <v>0</v>
      </c>
      <c r="O64" s="297">
        <f t="shared" si="7"/>
        <v>0</v>
      </c>
      <c r="P64" s="297">
        <f t="shared" si="8"/>
        <v>0</v>
      </c>
      <c r="Q64" s="297">
        <f t="shared" si="9"/>
        <v>0</v>
      </c>
      <c r="R64" s="297">
        <f t="shared" si="10"/>
        <v>0</v>
      </c>
      <c r="S64" s="297">
        <f t="shared" si="11"/>
        <v>0</v>
      </c>
      <c r="T64" s="297">
        <f t="shared" si="12"/>
        <v>0</v>
      </c>
      <c r="U64" s="297">
        <f t="shared" si="13"/>
        <v>0</v>
      </c>
      <c r="V64" s="297">
        <f t="shared" si="14"/>
        <v>0</v>
      </c>
      <c r="W64" s="297">
        <f t="shared" si="15"/>
        <v>0</v>
      </c>
      <c r="X64" s="297">
        <f t="shared" si="16"/>
        <v>0</v>
      </c>
      <c r="Y64" s="297">
        <f t="shared" si="18"/>
        <v>0</v>
      </c>
    </row>
    <row r="65" spans="1:25" ht="13.5" customHeight="1">
      <c r="A65" s="296">
        <v>61</v>
      </c>
      <c r="B65" s="161"/>
      <c r="C65" s="160"/>
      <c r="D65" s="161"/>
      <c r="E65" s="162"/>
      <c r="F65" s="344"/>
      <c r="G65" s="344"/>
      <c r="H65" s="297">
        <f t="shared" si="0"/>
        <v>0</v>
      </c>
      <c r="I65" s="297">
        <f t="shared" si="1"/>
        <v>0</v>
      </c>
      <c r="J65" s="297">
        <f t="shared" si="2"/>
        <v>0</v>
      </c>
      <c r="K65" s="297">
        <f t="shared" si="3"/>
        <v>0</v>
      </c>
      <c r="L65" s="297">
        <f t="shared" si="4"/>
        <v>0</v>
      </c>
      <c r="M65" s="297">
        <f t="shared" si="5"/>
        <v>0</v>
      </c>
      <c r="N65" s="297">
        <f t="shared" si="6"/>
        <v>0</v>
      </c>
      <c r="O65" s="297">
        <f t="shared" si="7"/>
        <v>0</v>
      </c>
      <c r="P65" s="297">
        <f t="shared" si="8"/>
        <v>0</v>
      </c>
      <c r="Q65" s="297">
        <f t="shared" si="9"/>
        <v>0</v>
      </c>
      <c r="R65" s="297">
        <f t="shared" si="10"/>
        <v>0</v>
      </c>
      <c r="S65" s="297">
        <f t="shared" si="11"/>
        <v>0</v>
      </c>
      <c r="T65" s="297">
        <f t="shared" si="12"/>
        <v>0</v>
      </c>
      <c r="U65" s="297">
        <f t="shared" si="13"/>
        <v>0</v>
      </c>
      <c r="V65" s="297">
        <f t="shared" si="14"/>
        <v>0</v>
      </c>
      <c r="W65" s="297">
        <f t="shared" si="15"/>
        <v>0</v>
      </c>
      <c r="X65" s="297">
        <f t="shared" si="16"/>
        <v>0</v>
      </c>
      <c r="Y65" s="297">
        <f t="shared" si="18"/>
        <v>0</v>
      </c>
    </row>
    <row r="66" spans="1:25" ht="13.5" customHeight="1">
      <c r="A66" s="296">
        <v>62</v>
      </c>
      <c r="B66" s="161"/>
      <c r="C66" s="160"/>
      <c r="D66" s="161"/>
      <c r="E66" s="162"/>
      <c r="F66" s="344"/>
      <c r="G66" s="344"/>
      <c r="H66" s="297">
        <f t="shared" si="0"/>
        <v>0</v>
      </c>
      <c r="I66" s="297">
        <f t="shared" si="1"/>
        <v>0</v>
      </c>
      <c r="J66" s="297">
        <f t="shared" si="2"/>
        <v>0</v>
      </c>
      <c r="K66" s="297">
        <f t="shared" si="3"/>
        <v>0</v>
      </c>
      <c r="L66" s="297">
        <f t="shared" si="4"/>
        <v>0</v>
      </c>
      <c r="M66" s="297">
        <f t="shared" si="5"/>
        <v>0</v>
      </c>
      <c r="N66" s="297">
        <f t="shared" si="6"/>
        <v>0</v>
      </c>
      <c r="O66" s="297">
        <f t="shared" si="7"/>
        <v>0</v>
      </c>
      <c r="P66" s="297">
        <f t="shared" si="8"/>
        <v>0</v>
      </c>
      <c r="Q66" s="297">
        <f t="shared" si="9"/>
        <v>0</v>
      </c>
      <c r="R66" s="297">
        <f t="shared" si="10"/>
        <v>0</v>
      </c>
      <c r="S66" s="297">
        <f t="shared" si="11"/>
        <v>0</v>
      </c>
      <c r="T66" s="297">
        <f t="shared" si="12"/>
        <v>0</v>
      </c>
      <c r="U66" s="297">
        <f t="shared" si="13"/>
        <v>0</v>
      </c>
      <c r="V66" s="297">
        <f t="shared" si="14"/>
        <v>0</v>
      </c>
      <c r="W66" s="297">
        <f t="shared" si="15"/>
        <v>0</v>
      </c>
      <c r="X66" s="297">
        <f t="shared" si="16"/>
        <v>0</v>
      </c>
      <c r="Y66" s="297">
        <f t="shared" si="18"/>
        <v>0</v>
      </c>
    </row>
    <row r="67" spans="1:25" ht="13.5" customHeight="1">
      <c r="A67" s="296">
        <v>63</v>
      </c>
      <c r="B67" s="161"/>
      <c r="C67" s="160"/>
      <c r="D67" s="161"/>
      <c r="E67" s="162"/>
      <c r="F67" s="344"/>
      <c r="G67" s="344"/>
      <c r="H67" s="297">
        <f t="shared" si="0"/>
        <v>0</v>
      </c>
      <c r="I67" s="297">
        <f t="shared" si="1"/>
        <v>0</v>
      </c>
      <c r="J67" s="297">
        <f t="shared" si="2"/>
        <v>0</v>
      </c>
      <c r="K67" s="297">
        <f t="shared" si="3"/>
        <v>0</v>
      </c>
      <c r="L67" s="297">
        <f t="shared" si="4"/>
        <v>0</v>
      </c>
      <c r="M67" s="297">
        <f t="shared" si="5"/>
        <v>0</v>
      </c>
      <c r="N67" s="297">
        <f t="shared" si="6"/>
        <v>0</v>
      </c>
      <c r="O67" s="297">
        <f t="shared" si="7"/>
        <v>0</v>
      </c>
      <c r="P67" s="297">
        <f t="shared" si="8"/>
        <v>0</v>
      </c>
      <c r="Q67" s="297">
        <f t="shared" si="9"/>
        <v>0</v>
      </c>
      <c r="R67" s="297">
        <f t="shared" si="10"/>
        <v>0</v>
      </c>
      <c r="S67" s="297">
        <f t="shared" si="11"/>
        <v>0</v>
      </c>
      <c r="T67" s="297">
        <f t="shared" si="12"/>
        <v>0</v>
      </c>
      <c r="U67" s="297">
        <f t="shared" si="13"/>
        <v>0</v>
      </c>
      <c r="V67" s="297">
        <f t="shared" si="14"/>
        <v>0</v>
      </c>
      <c r="W67" s="297">
        <f t="shared" si="15"/>
        <v>0</v>
      </c>
      <c r="X67" s="297">
        <f t="shared" si="16"/>
        <v>0</v>
      </c>
      <c r="Y67" s="297">
        <f t="shared" si="18"/>
        <v>0</v>
      </c>
    </row>
    <row r="68" spans="1:25" ht="13.5" customHeight="1">
      <c r="A68" s="296">
        <v>64</v>
      </c>
      <c r="B68" s="161"/>
      <c r="C68" s="160"/>
      <c r="D68" s="161"/>
      <c r="E68" s="162"/>
      <c r="F68" s="344"/>
      <c r="G68" s="344"/>
      <c r="H68" s="297">
        <f t="shared" si="0"/>
        <v>0</v>
      </c>
      <c r="I68" s="297">
        <f t="shared" si="1"/>
        <v>0</v>
      </c>
      <c r="J68" s="297">
        <f t="shared" si="2"/>
        <v>0</v>
      </c>
      <c r="K68" s="297">
        <f t="shared" si="3"/>
        <v>0</v>
      </c>
      <c r="L68" s="297">
        <f t="shared" si="4"/>
        <v>0</v>
      </c>
      <c r="M68" s="297">
        <f t="shared" si="5"/>
        <v>0</v>
      </c>
      <c r="N68" s="297">
        <f t="shared" si="6"/>
        <v>0</v>
      </c>
      <c r="O68" s="297">
        <f t="shared" si="7"/>
        <v>0</v>
      </c>
      <c r="P68" s="297">
        <f t="shared" si="8"/>
        <v>0</v>
      </c>
      <c r="Q68" s="297">
        <f t="shared" si="9"/>
        <v>0</v>
      </c>
      <c r="R68" s="297">
        <f t="shared" si="10"/>
        <v>0</v>
      </c>
      <c r="S68" s="297">
        <f t="shared" si="11"/>
        <v>0</v>
      </c>
      <c r="T68" s="297">
        <f t="shared" si="12"/>
        <v>0</v>
      </c>
      <c r="U68" s="297">
        <f t="shared" si="13"/>
        <v>0</v>
      </c>
      <c r="V68" s="297">
        <f t="shared" si="14"/>
        <v>0</v>
      </c>
      <c r="W68" s="297">
        <f t="shared" si="15"/>
        <v>0</v>
      </c>
      <c r="X68" s="297">
        <f t="shared" si="16"/>
        <v>0</v>
      </c>
      <c r="Y68" s="297">
        <f t="shared" si="18"/>
        <v>0</v>
      </c>
    </row>
    <row r="69" spans="1:25" ht="13.5" customHeight="1">
      <c r="A69" s="296">
        <v>65</v>
      </c>
      <c r="B69" s="161"/>
      <c r="C69" s="160"/>
      <c r="D69" s="161"/>
      <c r="E69" s="162"/>
      <c r="F69" s="344"/>
      <c r="G69" s="344"/>
      <c r="H69" s="297">
        <f t="shared" si="0"/>
        <v>0</v>
      </c>
      <c r="I69" s="297">
        <f t="shared" si="1"/>
        <v>0</v>
      </c>
      <c r="J69" s="297">
        <f t="shared" si="2"/>
        <v>0</v>
      </c>
      <c r="K69" s="297">
        <f t="shared" si="3"/>
        <v>0</v>
      </c>
      <c r="L69" s="297">
        <f t="shared" si="4"/>
        <v>0</v>
      </c>
      <c r="M69" s="297">
        <f t="shared" si="5"/>
        <v>0</v>
      </c>
      <c r="N69" s="297">
        <f t="shared" si="6"/>
        <v>0</v>
      </c>
      <c r="O69" s="297">
        <f t="shared" si="7"/>
        <v>0</v>
      </c>
      <c r="P69" s="297">
        <f t="shared" si="8"/>
        <v>0</v>
      </c>
      <c r="Q69" s="297">
        <f t="shared" si="9"/>
        <v>0</v>
      </c>
      <c r="R69" s="297">
        <f t="shared" si="10"/>
        <v>0</v>
      </c>
      <c r="S69" s="297">
        <f t="shared" si="11"/>
        <v>0</v>
      </c>
      <c r="T69" s="297">
        <f t="shared" si="12"/>
        <v>0</v>
      </c>
      <c r="U69" s="297">
        <f t="shared" si="13"/>
        <v>0</v>
      </c>
      <c r="V69" s="297">
        <f t="shared" si="14"/>
        <v>0</v>
      </c>
      <c r="W69" s="297">
        <f t="shared" si="15"/>
        <v>0</v>
      </c>
      <c r="X69" s="297">
        <f t="shared" si="16"/>
        <v>0</v>
      </c>
      <c r="Y69" s="297">
        <f t="shared" si="18"/>
        <v>0</v>
      </c>
    </row>
    <row r="70" spans="1:25" ht="13.5" customHeight="1">
      <c r="A70" s="296">
        <v>66</v>
      </c>
      <c r="B70" s="161"/>
      <c r="C70" s="160"/>
      <c r="D70" s="161"/>
      <c r="E70" s="162"/>
      <c r="F70" s="344"/>
      <c r="G70" s="344"/>
      <c r="H70" s="297">
        <f t="shared" si="0"/>
        <v>0</v>
      </c>
      <c r="I70" s="297">
        <f t="shared" si="1"/>
        <v>0</v>
      </c>
      <c r="J70" s="297">
        <f t="shared" si="2"/>
        <v>0</v>
      </c>
      <c r="K70" s="297">
        <f t="shared" si="3"/>
        <v>0</v>
      </c>
      <c r="L70" s="297">
        <f t="shared" si="4"/>
        <v>0</v>
      </c>
      <c r="M70" s="297">
        <f t="shared" si="5"/>
        <v>0</v>
      </c>
      <c r="N70" s="297">
        <f t="shared" si="6"/>
        <v>0</v>
      </c>
      <c r="O70" s="297">
        <f t="shared" si="7"/>
        <v>0</v>
      </c>
      <c r="P70" s="297">
        <f t="shared" si="8"/>
        <v>0</v>
      </c>
      <c r="Q70" s="297">
        <f t="shared" si="9"/>
        <v>0</v>
      </c>
      <c r="R70" s="297">
        <f t="shared" si="10"/>
        <v>0</v>
      </c>
      <c r="S70" s="297">
        <f t="shared" si="11"/>
        <v>0</v>
      </c>
      <c r="T70" s="297">
        <f t="shared" si="12"/>
        <v>0</v>
      </c>
      <c r="U70" s="297">
        <f t="shared" si="13"/>
        <v>0</v>
      </c>
      <c r="V70" s="297">
        <f t="shared" si="14"/>
        <v>0</v>
      </c>
      <c r="W70" s="297">
        <f t="shared" si="15"/>
        <v>0</v>
      </c>
      <c r="X70" s="297">
        <f t="shared" si="16"/>
        <v>0</v>
      </c>
      <c r="Y70" s="297">
        <f t="shared" si="18"/>
        <v>0</v>
      </c>
    </row>
    <row r="71" spans="1:25" ht="13.5" customHeight="1">
      <c r="A71" s="296">
        <v>67</v>
      </c>
      <c r="B71" s="161"/>
      <c r="C71" s="160"/>
      <c r="D71" s="161"/>
      <c r="E71" s="162"/>
      <c r="F71" s="344"/>
      <c r="G71" s="344"/>
      <c r="H71" s="297">
        <f t="shared" si="0"/>
        <v>0</v>
      </c>
      <c r="I71" s="297">
        <f t="shared" si="1"/>
        <v>0</v>
      </c>
      <c r="J71" s="297">
        <f t="shared" si="2"/>
        <v>0</v>
      </c>
      <c r="K71" s="297">
        <f t="shared" si="3"/>
        <v>0</v>
      </c>
      <c r="L71" s="297">
        <f t="shared" si="4"/>
        <v>0</v>
      </c>
      <c r="M71" s="297">
        <f t="shared" si="5"/>
        <v>0</v>
      </c>
      <c r="N71" s="297">
        <f t="shared" si="6"/>
        <v>0</v>
      </c>
      <c r="O71" s="297">
        <f t="shared" si="7"/>
        <v>0</v>
      </c>
      <c r="P71" s="297">
        <f t="shared" si="8"/>
        <v>0</v>
      </c>
      <c r="Q71" s="297">
        <f t="shared" si="9"/>
        <v>0</v>
      </c>
      <c r="R71" s="297">
        <f t="shared" si="10"/>
        <v>0</v>
      </c>
      <c r="S71" s="297">
        <f t="shared" si="11"/>
        <v>0</v>
      </c>
      <c r="T71" s="297">
        <f t="shared" si="12"/>
        <v>0</v>
      </c>
      <c r="U71" s="297">
        <f t="shared" si="13"/>
        <v>0</v>
      </c>
      <c r="V71" s="297">
        <f t="shared" si="14"/>
        <v>0</v>
      </c>
      <c r="W71" s="297">
        <f t="shared" si="15"/>
        <v>0</v>
      </c>
      <c r="X71" s="297">
        <f t="shared" si="16"/>
        <v>0</v>
      </c>
      <c r="Y71" s="297">
        <f t="shared" si="18"/>
        <v>0</v>
      </c>
    </row>
    <row r="72" spans="1:25" ht="13.5" customHeight="1">
      <c r="A72" s="296">
        <v>68</v>
      </c>
      <c r="B72" s="161"/>
      <c r="C72" s="160"/>
      <c r="D72" s="161"/>
      <c r="E72" s="162"/>
      <c r="F72" s="344"/>
      <c r="G72" s="344"/>
      <c r="H72" s="297">
        <f t="shared" si="0"/>
        <v>0</v>
      </c>
      <c r="I72" s="297">
        <f t="shared" si="1"/>
        <v>0</v>
      </c>
      <c r="J72" s="297">
        <f t="shared" si="2"/>
        <v>0</v>
      </c>
      <c r="K72" s="297">
        <f t="shared" si="3"/>
        <v>0</v>
      </c>
      <c r="L72" s="297">
        <f t="shared" si="4"/>
        <v>0</v>
      </c>
      <c r="M72" s="297">
        <f t="shared" si="5"/>
        <v>0</v>
      </c>
      <c r="N72" s="297">
        <f t="shared" si="6"/>
        <v>0</v>
      </c>
      <c r="O72" s="297">
        <f t="shared" si="7"/>
        <v>0</v>
      </c>
      <c r="P72" s="297">
        <f t="shared" si="8"/>
        <v>0</v>
      </c>
      <c r="Q72" s="297">
        <f t="shared" si="9"/>
        <v>0</v>
      </c>
      <c r="R72" s="297">
        <f t="shared" si="10"/>
        <v>0</v>
      </c>
      <c r="S72" s="297">
        <f t="shared" si="11"/>
        <v>0</v>
      </c>
      <c r="T72" s="297">
        <f t="shared" si="12"/>
        <v>0</v>
      </c>
      <c r="U72" s="297">
        <f t="shared" si="13"/>
        <v>0</v>
      </c>
      <c r="V72" s="297">
        <f t="shared" si="14"/>
        <v>0</v>
      </c>
      <c r="W72" s="297">
        <f t="shared" si="15"/>
        <v>0</v>
      </c>
      <c r="X72" s="297">
        <f t="shared" si="16"/>
        <v>0</v>
      </c>
      <c r="Y72" s="297">
        <f t="shared" si="18"/>
        <v>0</v>
      </c>
    </row>
    <row r="73" spans="1:25" ht="13.5" customHeight="1">
      <c r="A73" s="296">
        <v>69</v>
      </c>
      <c r="B73" s="161"/>
      <c r="C73" s="160"/>
      <c r="D73" s="161"/>
      <c r="E73" s="162"/>
      <c r="F73" s="344"/>
      <c r="G73" s="344"/>
      <c r="H73" s="297">
        <f t="shared" si="0"/>
        <v>0</v>
      </c>
      <c r="I73" s="297">
        <f t="shared" si="1"/>
        <v>0</v>
      </c>
      <c r="J73" s="297">
        <f t="shared" si="2"/>
        <v>0</v>
      </c>
      <c r="K73" s="297">
        <f t="shared" si="3"/>
        <v>0</v>
      </c>
      <c r="L73" s="297">
        <f t="shared" si="4"/>
        <v>0</v>
      </c>
      <c r="M73" s="297">
        <f t="shared" si="5"/>
        <v>0</v>
      </c>
      <c r="N73" s="297">
        <f t="shared" si="6"/>
        <v>0</v>
      </c>
      <c r="O73" s="297">
        <f t="shared" si="7"/>
        <v>0</v>
      </c>
      <c r="P73" s="297">
        <f t="shared" si="8"/>
        <v>0</v>
      </c>
      <c r="Q73" s="297">
        <f t="shared" si="9"/>
        <v>0</v>
      </c>
      <c r="R73" s="297">
        <f t="shared" si="10"/>
        <v>0</v>
      </c>
      <c r="S73" s="297">
        <f t="shared" si="11"/>
        <v>0</v>
      </c>
      <c r="T73" s="297">
        <f t="shared" si="12"/>
        <v>0</v>
      </c>
      <c r="U73" s="297">
        <f t="shared" si="13"/>
        <v>0</v>
      </c>
      <c r="V73" s="297">
        <f t="shared" si="14"/>
        <v>0</v>
      </c>
      <c r="W73" s="297">
        <f t="shared" si="15"/>
        <v>0</v>
      </c>
      <c r="X73" s="297">
        <f t="shared" si="16"/>
        <v>0</v>
      </c>
      <c r="Y73" s="297">
        <f t="shared" si="18"/>
        <v>0</v>
      </c>
    </row>
    <row r="74" spans="1:25" ht="13.5" customHeight="1">
      <c r="A74" s="296">
        <v>70</v>
      </c>
      <c r="B74" s="161"/>
      <c r="C74" s="160"/>
      <c r="D74" s="161"/>
      <c r="E74" s="162"/>
      <c r="F74" s="344"/>
      <c r="G74" s="344"/>
      <c r="H74" s="297">
        <f t="shared" si="0"/>
        <v>0</v>
      </c>
      <c r="I74" s="297">
        <f t="shared" si="1"/>
        <v>0</v>
      </c>
      <c r="J74" s="297">
        <f t="shared" si="2"/>
        <v>0</v>
      </c>
      <c r="K74" s="297">
        <f t="shared" si="3"/>
        <v>0</v>
      </c>
      <c r="L74" s="297">
        <f t="shared" si="4"/>
        <v>0</v>
      </c>
      <c r="M74" s="297">
        <f t="shared" si="5"/>
        <v>0</v>
      </c>
      <c r="N74" s="297">
        <f t="shared" si="6"/>
        <v>0</v>
      </c>
      <c r="O74" s="297">
        <f t="shared" si="7"/>
        <v>0</v>
      </c>
      <c r="P74" s="297">
        <f t="shared" si="8"/>
        <v>0</v>
      </c>
      <c r="Q74" s="297">
        <f t="shared" si="9"/>
        <v>0</v>
      </c>
      <c r="R74" s="297">
        <f t="shared" si="10"/>
        <v>0</v>
      </c>
      <c r="S74" s="297">
        <f t="shared" si="11"/>
        <v>0</v>
      </c>
      <c r="T74" s="297">
        <f t="shared" si="12"/>
        <v>0</v>
      </c>
      <c r="U74" s="297">
        <f t="shared" si="13"/>
        <v>0</v>
      </c>
      <c r="V74" s="297">
        <f t="shared" si="14"/>
        <v>0</v>
      </c>
      <c r="W74" s="297">
        <f t="shared" si="15"/>
        <v>0</v>
      </c>
      <c r="X74" s="297">
        <f t="shared" si="16"/>
        <v>0</v>
      </c>
      <c r="Y74" s="297">
        <f t="shared" si="18"/>
        <v>0</v>
      </c>
    </row>
    <row r="75" spans="1:25" ht="13.5" customHeight="1">
      <c r="A75" s="296">
        <v>71</v>
      </c>
      <c r="B75" s="161"/>
      <c r="C75" s="160"/>
      <c r="D75" s="161"/>
      <c r="E75" s="162"/>
      <c r="F75" s="344"/>
      <c r="G75" s="344"/>
      <c r="H75" s="297">
        <f t="shared" si="0"/>
        <v>0</v>
      </c>
      <c r="I75" s="297">
        <f t="shared" si="1"/>
        <v>0</v>
      </c>
      <c r="J75" s="297">
        <f t="shared" si="2"/>
        <v>0</v>
      </c>
      <c r="K75" s="297">
        <f t="shared" si="3"/>
        <v>0</v>
      </c>
      <c r="L75" s="297">
        <f t="shared" si="4"/>
        <v>0</v>
      </c>
      <c r="M75" s="297">
        <f t="shared" si="5"/>
        <v>0</v>
      </c>
      <c r="N75" s="297">
        <f t="shared" si="6"/>
        <v>0</v>
      </c>
      <c r="O75" s="297">
        <f t="shared" si="7"/>
        <v>0</v>
      </c>
      <c r="P75" s="297">
        <f t="shared" si="8"/>
        <v>0</v>
      </c>
      <c r="Q75" s="297">
        <f t="shared" si="9"/>
        <v>0</v>
      </c>
      <c r="R75" s="297">
        <f t="shared" si="10"/>
        <v>0</v>
      </c>
      <c r="S75" s="297">
        <f t="shared" si="11"/>
        <v>0</v>
      </c>
      <c r="T75" s="297">
        <f t="shared" si="12"/>
        <v>0</v>
      </c>
      <c r="U75" s="297">
        <f t="shared" si="13"/>
        <v>0</v>
      </c>
      <c r="V75" s="297">
        <f t="shared" si="14"/>
        <v>0</v>
      </c>
      <c r="W75" s="297">
        <f t="shared" si="15"/>
        <v>0</v>
      </c>
      <c r="X75" s="297">
        <f t="shared" si="16"/>
        <v>0</v>
      </c>
      <c r="Y75" s="297">
        <f t="shared" si="18"/>
        <v>0</v>
      </c>
    </row>
    <row r="76" spans="1:25" ht="13.5" customHeight="1">
      <c r="A76" s="296">
        <v>72</v>
      </c>
      <c r="B76" s="161"/>
      <c r="C76" s="160"/>
      <c r="D76" s="161"/>
      <c r="E76" s="162"/>
      <c r="F76" s="344"/>
      <c r="G76" s="344"/>
      <c r="H76" s="297">
        <f t="shared" si="0"/>
        <v>0</v>
      </c>
      <c r="I76" s="297">
        <f t="shared" si="1"/>
        <v>0</v>
      </c>
      <c r="J76" s="297">
        <f t="shared" si="2"/>
        <v>0</v>
      </c>
      <c r="K76" s="297">
        <f t="shared" si="3"/>
        <v>0</v>
      </c>
      <c r="L76" s="297">
        <f t="shared" si="4"/>
        <v>0</v>
      </c>
      <c r="M76" s="297">
        <f t="shared" si="5"/>
        <v>0</v>
      </c>
      <c r="N76" s="297">
        <f t="shared" si="6"/>
        <v>0</v>
      </c>
      <c r="O76" s="297">
        <f t="shared" si="7"/>
        <v>0</v>
      </c>
      <c r="P76" s="297">
        <f t="shared" si="8"/>
        <v>0</v>
      </c>
      <c r="Q76" s="297">
        <f t="shared" si="9"/>
        <v>0</v>
      </c>
      <c r="R76" s="297">
        <f t="shared" si="10"/>
        <v>0</v>
      </c>
      <c r="S76" s="297">
        <f t="shared" si="11"/>
        <v>0</v>
      </c>
      <c r="T76" s="297">
        <f t="shared" si="12"/>
        <v>0</v>
      </c>
      <c r="U76" s="297">
        <f t="shared" si="13"/>
        <v>0</v>
      </c>
      <c r="V76" s="297">
        <f t="shared" si="14"/>
        <v>0</v>
      </c>
      <c r="W76" s="297">
        <f t="shared" si="15"/>
        <v>0</v>
      </c>
      <c r="X76" s="297">
        <f t="shared" si="16"/>
        <v>0</v>
      </c>
      <c r="Y76" s="297">
        <f t="shared" si="18"/>
        <v>0</v>
      </c>
    </row>
    <row r="77" spans="1:25" ht="13.5" customHeight="1">
      <c r="A77" s="296">
        <v>73</v>
      </c>
      <c r="B77" s="161"/>
      <c r="C77" s="160"/>
      <c r="D77" s="161"/>
      <c r="E77" s="162"/>
      <c r="F77" s="344"/>
      <c r="G77" s="344"/>
      <c r="H77" s="297">
        <f t="shared" si="0"/>
        <v>0</v>
      </c>
      <c r="I77" s="297">
        <f t="shared" si="1"/>
        <v>0</v>
      </c>
      <c r="J77" s="297">
        <f t="shared" si="2"/>
        <v>0</v>
      </c>
      <c r="K77" s="297">
        <f t="shared" si="3"/>
        <v>0</v>
      </c>
      <c r="L77" s="297">
        <f t="shared" si="4"/>
        <v>0</v>
      </c>
      <c r="M77" s="297">
        <f t="shared" si="5"/>
        <v>0</v>
      </c>
      <c r="N77" s="297">
        <f t="shared" si="6"/>
        <v>0</v>
      </c>
      <c r="O77" s="297">
        <f t="shared" si="7"/>
        <v>0</v>
      </c>
      <c r="P77" s="297">
        <f t="shared" si="8"/>
        <v>0</v>
      </c>
      <c r="Q77" s="297">
        <f t="shared" si="9"/>
        <v>0</v>
      </c>
      <c r="R77" s="297">
        <f t="shared" si="10"/>
        <v>0</v>
      </c>
      <c r="S77" s="297">
        <f t="shared" si="11"/>
        <v>0</v>
      </c>
      <c r="T77" s="297">
        <f t="shared" si="12"/>
        <v>0</v>
      </c>
      <c r="U77" s="297">
        <f t="shared" si="13"/>
        <v>0</v>
      </c>
      <c r="V77" s="297">
        <f t="shared" si="14"/>
        <v>0</v>
      </c>
      <c r="W77" s="297">
        <f t="shared" si="15"/>
        <v>0</v>
      </c>
      <c r="X77" s="297">
        <f t="shared" si="16"/>
        <v>0</v>
      </c>
      <c r="Y77" s="297">
        <f t="shared" si="18"/>
        <v>0</v>
      </c>
    </row>
    <row r="78" spans="1:25" ht="13.5" customHeight="1">
      <c r="A78" s="296">
        <v>74</v>
      </c>
      <c r="B78" s="161"/>
      <c r="C78" s="160"/>
      <c r="D78" s="161"/>
      <c r="E78" s="162"/>
      <c r="F78" s="344"/>
      <c r="G78" s="344"/>
      <c r="H78" s="297">
        <f t="shared" si="0"/>
        <v>0</v>
      </c>
      <c r="I78" s="297">
        <f t="shared" si="1"/>
        <v>0</v>
      </c>
      <c r="J78" s="297">
        <f t="shared" si="2"/>
        <v>0</v>
      </c>
      <c r="K78" s="297">
        <f t="shared" si="3"/>
        <v>0</v>
      </c>
      <c r="L78" s="297">
        <f t="shared" si="4"/>
        <v>0</v>
      </c>
      <c r="M78" s="297">
        <f t="shared" si="5"/>
        <v>0</v>
      </c>
      <c r="N78" s="297">
        <f t="shared" si="6"/>
        <v>0</v>
      </c>
      <c r="O78" s="297">
        <f t="shared" si="7"/>
        <v>0</v>
      </c>
      <c r="P78" s="297">
        <f t="shared" si="8"/>
        <v>0</v>
      </c>
      <c r="Q78" s="297">
        <f t="shared" si="9"/>
        <v>0</v>
      </c>
      <c r="R78" s="297">
        <f t="shared" si="10"/>
        <v>0</v>
      </c>
      <c r="S78" s="297">
        <f t="shared" si="11"/>
        <v>0</v>
      </c>
      <c r="T78" s="297">
        <f t="shared" si="12"/>
        <v>0</v>
      </c>
      <c r="U78" s="297">
        <f t="shared" si="13"/>
        <v>0</v>
      </c>
      <c r="V78" s="297">
        <f t="shared" si="14"/>
        <v>0</v>
      </c>
      <c r="W78" s="297">
        <f t="shared" si="15"/>
        <v>0</v>
      </c>
      <c r="X78" s="297">
        <f t="shared" si="16"/>
        <v>0</v>
      </c>
      <c r="Y78" s="297">
        <f t="shared" si="18"/>
        <v>0</v>
      </c>
    </row>
    <row r="79" spans="1:25" ht="13.5" customHeight="1">
      <c r="A79" s="296">
        <v>75</v>
      </c>
      <c r="B79" s="161"/>
      <c r="C79" s="160"/>
      <c r="D79" s="161"/>
      <c r="E79" s="162"/>
      <c r="F79" s="344"/>
      <c r="G79" s="344"/>
      <c r="H79" s="297">
        <f t="shared" si="0"/>
        <v>0</v>
      </c>
      <c r="I79" s="297">
        <f t="shared" si="1"/>
        <v>0</v>
      </c>
      <c r="J79" s="297">
        <f t="shared" si="2"/>
        <v>0</v>
      </c>
      <c r="K79" s="297">
        <f t="shared" si="3"/>
        <v>0</v>
      </c>
      <c r="L79" s="297">
        <f t="shared" si="4"/>
        <v>0</v>
      </c>
      <c r="M79" s="297">
        <f t="shared" si="5"/>
        <v>0</v>
      </c>
      <c r="N79" s="297">
        <f t="shared" si="6"/>
        <v>0</v>
      </c>
      <c r="O79" s="297">
        <f t="shared" si="7"/>
        <v>0</v>
      </c>
      <c r="P79" s="297">
        <f t="shared" si="8"/>
        <v>0</v>
      </c>
      <c r="Q79" s="297">
        <f t="shared" si="9"/>
        <v>0</v>
      </c>
      <c r="R79" s="297">
        <f t="shared" si="10"/>
        <v>0</v>
      </c>
      <c r="S79" s="297">
        <f t="shared" si="11"/>
        <v>0</v>
      </c>
      <c r="T79" s="297">
        <f t="shared" si="12"/>
        <v>0</v>
      </c>
      <c r="U79" s="297">
        <f t="shared" si="13"/>
        <v>0</v>
      </c>
      <c r="V79" s="297">
        <f t="shared" si="14"/>
        <v>0</v>
      </c>
      <c r="W79" s="297">
        <f t="shared" si="15"/>
        <v>0</v>
      </c>
      <c r="X79" s="297">
        <f t="shared" si="16"/>
        <v>0</v>
      </c>
      <c r="Y79" s="297">
        <f t="shared" si="18"/>
        <v>0</v>
      </c>
    </row>
    <row r="80" spans="1:25" ht="13.5" customHeight="1">
      <c r="A80" s="296">
        <v>76</v>
      </c>
      <c r="B80" s="161"/>
      <c r="C80" s="160"/>
      <c r="D80" s="161"/>
      <c r="E80" s="162"/>
      <c r="F80" s="344"/>
      <c r="G80" s="344"/>
      <c r="H80" s="297">
        <f t="shared" si="0"/>
        <v>0</v>
      </c>
      <c r="I80" s="297">
        <f t="shared" si="1"/>
        <v>0</v>
      </c>
      <c r="J80" s="297">
        <f t="shared" si="2"/>
        <v>0</v>
      </c>
      <c r="K80" s="297">
        <f t="shared" si="3"/>
        <v>0</v>
      </c>
      <c r="L80" s="297">
        <f t="shared" si="4"/>
        <v>0</v>
      </c>
      <c r="M80" s="297">
        <f t="shared" si="5"/>
        <v>0</v>
      </c>
      <c r="N80" s="297">
        <f t="shared" si="6"/>
        <v>0</v>
      </c>
      <c r="O80" s="297">
        <f t="shared" si="7"/>
        <v>0</v>
      </c>
      <c r="P80" s="297">
        <f t="shared" si="8"/>
        <v>0</v>
      </c>
      <c r="Q80" s="297">
        <f t="shared" si="9"/>
        <v>0</v>
      </c>
      <c r="R80" s="297">
        <f t="shared" si="10"/>
        <v>0</v>
      </c>
      <c r="S80" s="297">
        <f t="shared" si="11"/>
        <v>0</v>
      </c>
      <c r="T80" s="297">
        <f t="shared" si="12"/>
        <v>0</v>
      </c>
      <c r="U80" s="297">
        <f t="shared" si="13"/>
        <v>0</v>
      </c>
      <c r="V80" s="297">
        <f t="shared" si="14"/>
        <v>0</v>
      </c>
      <c r="W80" s="297">
        <f t="shared" si="15"/>
        <v>0</v>
      </c>
      <c r="X80" s="297">
        <f t="shared" si="16"/>
        <v>0</v>
      </c>
      <c r="Y80" s="297">
        <f t="shared" si="18"/>
        <v>0</v>
      </c>
    </row>
    <row r="81" spans="1:25" ht="13.5" customHeight="1">
      <c r="A81" s="296">
        <v>77</v>
      </c>
      <c r="B81" s="161"/>
      <c r="C81" s="160"/>
      <c r="D81" s="161"/>
      <c r="E81" s="162"/>
      <c r="F81" s="344"/>
      <c r="G81" s="344"/>
      <c r="H81" s="297">
        <f t="shared" si="0"/>
        <v>0</v>
      </c>
      <c r="I81" s="297">
        <f t="shared" si="1"/>
        <v>0</v>
      </c>
      <c r="J81" s="297">
        <f t="shared" si="2"/>
        <v>0</v>
      </c>
      <c r="K81" s="297">
        <f t="shared" si="3"/>
        <v>0</v>
      </c>
      <c r="L81" s="297">
        <f t="shared" si="4"/>
        <v>0</v>
      </c>
      <c r="M81" s="297">
        <f t="shared" si="5"/>
        <v>0</v>
      </c>
      <c r="N81" s="297">
        <f t="shared" si="6"/>
        <v>0</v>
      </c>
      <c r="O81" s="297">
        <f t="shared" si="7"/>
        <v>0</v>
      </c>
      <c r="P81" s="297">
        <f t="shared" si="8"/>
        <v>0</v>
      </c>
      <c r="Q81" s="297">
        <f t="shared" si="9"/>
        <v>0</v>
      </c>
      <c r="R81" s="297">
        <f t="shared" si="10"/>
        <v>0</v>
      </c>
      <c r="S81" s="297">
        <f t="shared" si="11"/>
        <v>0</v>
      </c>
      <c r="T81" s="297">
        <f t="shared" si="12"/>
        <v>0</v>
      </c>
      <c r="U81" s="297">
        <f t="shared" si="13"/>
        <v>0</v>
      </c>
      <c r="V81" s="297">
        <f t="shared" si="14"/>
        <v>0</v>
      </c>
      <c r="W81" s="297">
        <f t="shared" si="15"/>
        <v>0</v>
      </c>
      <c r="X81" s="297">
        <f t="shared" si="16"/>
        <v>0</v>
      </c>
      <c r="Y81" s="297">
        <f t="shared" si="18"/>
        <v>0</v>
      </c>
    </row>
    <row r="82" spans="1:25" ht="13.5" customHeight="1">
      <c r="A82" s="296">
        <v>78</v>
      </c>
      <c r="B82" s="161"/>
      <c r="C82" s="160"/>
      <c r="D82" s="161"/>
      <c r="E82" s="162"/>
      <c r="F82" s="344"/>
      <c r="G82" s="344"/>
      <c r="H82" s="297">
        <f t="shared" si="0"/>
        <v>0</v>
      </c>
      <c r="I82" s="297">
        <f t="shared" si="1"/>
        <v>0</v>
      </c>
      <c r="J82" s="297">
        <f t="shared" si="2"/>
        <v>0</v>
      </c>
      <c r="K82" s="297">
        <f t="shared" si="3"/>
        <v>0</v>
      </c>
      <c r="L82" s="297">
        <f t="shared" si="4"/>
        <v>0</v>
      </c>
      <c r="M82" s="297">
        <f t="shared" si="5"/>
        <v>0</v>
      </c>
      <c r="N82" s="297">
        <f t="shared" si="6"/>
        <v>0</v>
      </c>
      <c r="O82" s="297">
        <f t="shared" si="7"/>
        <v>0</v>
      </c>
      <c r="P82" s="297">
        <f t="shared" si="8"/>
        <v>0</v>
      </c>
      <c r="Q82" s="297">
        <f t="shared" si="9"/>
        <v>0</v>
      </c>
      <c r="R82" s="297">
        <f t="shared" si="10"/>
        <v>0</v>
      </c>
      <c r="S82" s="297">
        <f t="shared" si="11"/>
        <v>0</v>
      </c>
      <c r="T82" s="297">
        <f t="shared" si="12"/>
        <v>0</v>
      </c>
      <c r="U82" s="297">
        <f t="shared" si="13"/>
        <v>0</v>
      </c>
      <c r="V82" s="297">
        <f t="shared" si="14"/>
        <v>0</v>
      </c>
      <c r="W82" s="297">
        <f t="shared" si="15"/>
        <v>0</v>
      </c>
      <c r="X82" s="297">
        <f t="shared" si="16"/>
        <v>0</v>
      </c>
      <c r="Y82" s="297">
        <f>SUM(H82:X82)</f>
        <v>0</v>
      </c>
    </row>
    <row r="83" spans="1:25" ht="13.5" customHeight="1">
      <c r="A83" s="296">
        <v>79</v>
      </c>
      <c r="B83" s="161"/>
      <c r="C83" s="160"/>
      <c r="D83" s="161"/>
      <c r="E83" s="162"/>
      <c r="F83" s="344"/>
      <c r="G83" s="344"/>
      <c r="H83" s="297">
        <f t="shared" si="0"/>
        <v>0</v>
      </c>
      <c r="I83" s="297">
        <f t="shared" si="1"/>
        <v>0</v>
      </c>
      <c r="J83" s="297">
        <f t="shared" si="2"/>
        <v>0</v>
      </c>
      <c r="K83" s="297">
        <f t="shared" si="3"/>
        <v>0</v>
      </c>
      <c r="L83" s="297">
        <f t="shared" si="4"/>
        <v>0</v>
      </c>
      <c r="M83" s="297">
        <f t="shared" si="5"/>
        <v>0</v>
      </c>
      <c r="N83" s="297">
        <f t="shared" si="6"/>
        <v>0</v>
      </c>
      <c r="O83" s="297">
        <f t="shared" si="7"/>
        <v>0</v>
      </c>
      <c r="P83" s="297">
        <f t="shared" si="8"/>
        <v>0</v>
      </c>
      <c r="Q83" s="297">
        <f t="shared" si="9"/>
        <v>0</v>
      </c>
      <c r="R83" s="297">
        <f t="shared" si="10"/>
        <v>0</v>
      </c>
      <c r="S83" s="297">
        <f t="shared" si="11"/>
        <v>0</v>
      </c>
      <c r="T83" s="297">
        <f t="shared" si="12"/>
        <v>0</v>
      </c>
      <c r="U83" s="297">
        <f t="shared" si="13"/>
        <v>0</v>
      </c>
      <c r="V83" s="297">
        <f t="shared" si="14"/>
        <v>0</v>
      </c>
      <c r="W83" s="297">
        <f t="shared" si="15"/>
        <v>0</v>
      </c>
      <c r="X83" s="297">
        <f t="shared" si="16"/>
        <v>0</v>
      </c>
      <c r="Y83" s="297">
        <f>SUM(H83:X83)</f>
        <v>0</v>
      </c>
    </row>
    <row r="84" spans="1:25" ht="13.5" customHeight="1">
      <c r="A84" s="296">
        <v>80</v>
      </c>
      <c r="B84" s="161"/>
      <c r="C84" s="160"/>
      <c r="D84" s="161"/>
      <c r="E84" s="162"/>
      <c r="F84" s="344"/>
      <c r="G84" s="344"/>
      <c r="H84" s="297">
        <f t="shared" si="0"/>
        <v>0</v>
      </c>
      <c r="I84" s="297">
        <f t="shared" si="1"/>
        <v>0</v>
      </c>
      <c r="J84" s="297">
        <f t="shared" si="2"/>
        <v>0</v>
      </c>
      <c r="K84" s="297">
        <f t="shared" si="3"/>
        <v>0</v>
      </c>
      <c r="L84" s="297">
        <f t="shared" si="4"/>
        <v>0</v>
      </c>
      <c r="M84" s="297">
        <f t="shared" si="5"/>
        <v>0</v>
      </c>
      <c r="N84" s="297">
        <f t="shared" si="6"/>
        <v>0</v>
      </c>
      <c r="O84" s="297">
        <f t="shared" si="7"/>
        <v>0</v>
      </c>
      <c r="P84" s="297">
        <f t="shared" si="8"/>
        <v>0</v>
      </c>
      <c r="Q84" s="297">
        <f t="shared" si="9"/>
        <v>0</v>
      </c>
      <c r="R84" s="297">
        <f t="shared" si="10"/>
        <v>0</v>
      </c>
      <c r="S84" s="297">
        <f t="shared" si="11"/>
        <v>0</v>
      </c>
      <c r="T84" s="297">
        <f t="shared" si="12"/>
        <v>0</v>
      </c>
      <c r="U84" s="297">
        <f t="shared" si="13"/>
        <v>0</v>
      </c>
      <c r="V84" s="297">
        <f t="shared" si="14"/>
        <v>0</v>
      </c>
      <c r="W84" s="297">
        <f t="shared" si="15"/>
        <v>0</v>
      </c>
      <c r="X84" s="297">
        <f t="shared" si="16"/>
        <v>0</v>
      </c>
      <c r="Y84" s="297">
        <f>SUM(H84:X84)</f>
        <v>0</v>
      </c>
    </row>
    <row r="85" spans="1:25" ht="13.5" customHeight="1">
      <c r="A85" s="296">
        <v>81</v>
      </c>
      <c r="B85" s="161"/>
      <c r="C85" s="160"/>
      <c r="D85" s="161"/>
      <c r="E85" s="162"/>
      <c r="F85" s="344"/>
      <c r="G85" s="344"/>
      <c r="H85" s="297">
        <f t="shared" si="0"/>
        <v>0</v>
      </c>
      <c r="I85" s="297">
        <f t="shared" si="1"/>
        <v>0</v>
      </c>
      <c r="J85" s="297">
        <f t="shared" si="2"/>
        <v>0</v>
      </c>
      <c r="K85" s="297">
        <f t="shared" si="3"/>
        <v>0</v>
      </c>
      <c r="L85" s="297">
        <f t="shared" si="4"/>
        <v>0</v>
      </c>
      <c r="M85" s="297">
        <f t="shared" si="5"/>
        <v>0</v>
      </c>
      <c r="N85" s="297">
        <f t="shared" si="6"/>
        <v>0</v>
      </c>
      <c r="O85" s="297">
        <f t="shared" si="7"/>
        <v>0</v>
      </c>
      <c r="P85" s="297">
        <f t="shared" si="8"/>
        <v>0</v>
      </c>
      <c r="Q85" s="297">
        <f t="shared" si="9"/>
        <v>0</v>
      </c>
      <c r="R85" s="297">
        <f t="shared" si="10"/>
        <v>0</v>
      </c>
      <c r="S85" s="297">
        <f t="shared" si="11"/>
        <v>0</v>
      </c>
      <c r="T85" s="297">
        <f t="shared" si="12"/>
        <v>0</v>
      </c>
      <c r="U85" s="297">
        <f t="shared" si="13"/>
        <v>0</v>
      </c>
      <c r="V85" s="297">
        <f t="shared" si="14"/>
        <v>0</v>
      </c>
      <c r="W85" s="297">
        <f t="shared" si="15"/>
        <v>0</v>
      </c>
      <c r="X85" s="297">
        <f t="shared" si="16"/>
        <v>0</v>
      </c>
      <c r="Y85" s="297">
        <f>SUM(H85:X85)</f>
        <v>0</v>
      </c>
    </row>
    <row r="86" spans="1:25" ht="13.5" customHeight="1">
      <c r="A86" s="296">
        <v>82</v>
      </c>
      <c r="B86" s="161"/>
      <c r="C86" s="160"/>
      <c r="D86" s="161"/>
      <c r="E86" s="162"/>
      <c r="F86" s="344"/>
      <c r="G86" s="344"/>
      <c r="H86" s="297">
        <f t="shared" si="0"/>
        <v>0</v>
      </c>
      <c r="I86" s="297">
        <f t="shared" si="1"/>
        <v>0</v>
      </c>
      <c r="J86" s="297">
        <f t="shared" si="2"/>
        <v>0</v>
      </c>
      <c r="K86" s="297">
        <f t="shared" si="3"/>
        <v>0</v>
      </c>
      <c r="L86" s="297">
        <f t="shared" si="4"/>
        <v>0</v>
      </c>
      <c r="M86" s="297">
        <f t="shared" si="5"/>
        <v>0</v>
      </c>
      <c r="N86" s="297">
        <f t="shared" si="6"/>
        <v>0</v>
      </c>
      <c r="O86" s="297">
        <f t="shared" si="7"/>
        <v>0</v>
      </c>
      <c r="P86" s="297">
        <f t="shared" si="8"/>
        <v>0</v>
      </c>
      <c r="Q86" s="297">
        <f t="shared" si="9"/>
        <v>0</v>
      </c>
      <c r="R86" s="297">
        <f t="shared" si="10"/>
        <v>0</v>
      </c>
      <c r="S86" s="297">
        <f t="shared" si="11"/>
        <v>0</v>
      </c>
      <c r="T86" s="297">
        <f t="shared" si="12"/>
        <v>0</v>
      </c>
      <c r="U86" s="297">
        <f t="shared" si="13"/>
        <v>0</v>
      </c>
      <c r="V86" s="297">
        <f t="shared" si="14"/>
        <v>0</v>
      </c>
      <c r="W86" s="297">
        <f t="shared" si="15"/>
        <v>0</v>
      </c>
      <c r="X86" s="297">
        <f t="shared" si="16"/>
        <v>0</v>
      </c>
      <c r="Y86" s="297">
        <f aca="true" t="shared" si="19" ref="Y86:Y114">SUM(H86:X86)</f>
        <v>0</v>
      </c>
    </row>
    <row r="87" spans="1:25" ht="13.5" customHeight="1">
      <c r="A87" s="296">
        <v>83</v>
      </c>
      <c r="B87" s="161"/>
      <c r="C87" s="160"/>
      <c r="D87" s="161"/>
      <c r="E87" s="162"/>
      <c r="F87" s="344"/>
      <c r="G87" s="344"/>
      <c r="H87" s="297">
        <f t="shared" si="0"/>
        <v>0</v>
      </c>
      <c r="I87" s="297">
        <f t="shared" si="1"/>
        <v>0</v>
      </c>
      <c r="J87" s="297">
        <f t="shared" si="2"/>
        <v>0</v>
      </c>
      <c r="K87" s="297">
        <f t="shared" si="3"/>
        <v>0</v>
      </c>
      <c r="L87" s="297">
        <f t="shared" si="4"/>
        <v>0</v>
      </c>
      <c r="M87" s="297">
        <f t="shared" si="5"/>
        <v>0</v>
      </c>
      <c r="N87" s="297">
        <f t="shared" si="6"/>
        <v>0</v>
      </c>
      <c r="O87" s="297">
        <f t="shared" si="7"/>
        <v>0</v>
      </c>
      <c r="P87" s="297">
        <f t="shared" si="8"/>
        <v>0</v>
      </c>
      <c r="Q87" s="297">
        <f t="shared" si="9"/>
        <v>0</v>
      </c>
      <c r="R87" s="297">
        <f t="shared" si="10"/>
        <v>0</v>
      </c>
      <c r="S87" s="297">
        <f t="shared" si="11"/>
        <v>0</v>
      </c>
      <c r="T87" s="297">
        <f t="shared" si="12"/>
        <v>0</v>
      </c>
      <c r="U87" s="297">
        <f t="shared" si="13"/>
        <v>0</v>
      </c>
      <c r="V87" s="297">
        <f t="shared" si="14"/>
        <v>0</v>
      </c>
      <c r="W87" s="297">
        <f t="shared" si="15"/>
        <v>0</v>
      </c>
      <c r="X87" s="297">
        <f t="shared" si="16"/>
        <v>0</v>
      </c>
      <c r="Y87" s="297">
        <f t="shared" si="19"/>
        <v>0</v>
      </c>
    </row>
    <row r="88" spans="1:25" ht="13.5" customHeight="1">
      <c r="A88" s="296">
        <v>84</v>
      </c>
      <c r="B88" s="161"/>
      <c r="C88" s="160"/>
      <c r="D88" s="161"/>
      <c r="E88" s="162"/>
      <c r="F88" s="344"/>
      <c r="G88" s="344"/>
      <c r="H88" s="297">
        <f t="shared" si="0"/>
        <v>0</v>
      </c>
      <c r="I88" s="297">
        <f t="shared" si="1"/>
        <v>0</v>
      </c>
      <c r="J88" s="297">
        <f t="shared" si="2"/>
        <v>0</v>
      </c>
      <c r="K88" s="297">
        <f t="shared" si="3"/>
        <v>0</v>
      </c>
      <c r="L88" s="297">
        <f t="shared" si="4"/>
        <v>0</v>
      </c>
      <c r="M88" s="297">
        <f t="shared" si="5"/>
        <v>0</v>
      </c>
      <c r="N88" s="297">
        <f t="shared" si="6"/>
        <v>0</v>
      </c>
      <c r="O88" s="297">
        <f t="shared" si="7"/>
        <v>0</v>
      </c>
      <c r="P88" s="297">
        <f t="shared" si="8"/>
        <v>0</v>
      </c>
      <c r="Q88" s="297">
        <f t="shared" si="9"/>
        <v>0</v>
      </c>
      <c r="R88" s="297">
        <f t="shared" si="10"/>
        <v>0</v>
      </c>
      <c r="S88" s="297">
        <f t="shared" si="11"/>
        <v>0</v>
      </c>
      <c r="T88" s="297">
        <f t="shared" si="12"/>
        <v>0</v>
      </c>
      <c r="U88" s="297">
        <f t="shared" si="13"/>
        <v>0</v>
      </c>
      <c r="V88" s="297">
        <f t="shared" si="14"/>
        <v>0</v>
      </c>
      <c r="W88" s="297">
        <f t="shared" si="15"/>
        <v>0</v>
      </c>
      <c r="X88" s="297">
        <f t="shared" si="16"/>
        <v>0</v>
      </c>
      <c r="Y88" s="297">
        <f t="shared" si="19"/>
        <v>0</v>
      </c>
    </row>
    <row r="89" spans="1:25" ht="13.5" customHeight="1">
      <c r="A89" s="296">
        <v>85</v>
      </c>
      <c r="B89" s="161"/>
      <c r="C89" s="160"/>
      <c r="D89" s="161"/>
      <c r="E89" s="162"/>
      <c r="F89" s="344"/>
      <c r="G89" s="344"/>
      <c r="H89" s="297">
        <f t="shared" si="0"/>
        <v>0</v>
      </c>
      <c r="I89" s="297">
        <f t="shared" si="1"/>
        <v>0</v>
      </c>
      <c r="J89" s="297">
        <f t="shared" si="2"/>
        <v>0</v>
      </c>
      <c r="K89" s="297">
        <f t="shared" si="3"/>
        <v>0</v>
      </c>
      <c r="L89" s="297">
        <f t="shared" si="4"/>
        <v>0</v>
      </c>
      <c r="M89" s="297">
        <f t="shared" si="5"/>
        <v>0</v>
      </c>
      <c r="N89" s="297">
        <f t="shared" si="6"/>
        <v>0</v>
      </c>
      <c r="O89" s="297">
        <f t="shared" si="7"/>
        <v>0</v>
      </c>
      <c r="P89" s="297">
        <f t="shared" si="8"/>
        <v>0</v>
      </c>
      <c r="Q89" s="297">
        <f t="shared" si="9"/>
        <v>0</v>
      </c>
      <c r="R89" s="297">
        <f t="shared" si="10"/>
        <v>0</v>
      </c>
      <c r="S89" s="297">
        <f t="shared" si="11"/>
        <v>0</v>
      </c>
      <c r="T89" s="297">
        <f t="shared" si="12"/>
        <v>0</v>
      </c>
      <c r="U89" s="297">
        <f t="shared" si="13"/>
        <v>0</v>
      </c>
      <c r="V89" s="297">
        <f t="shared" si="14"/>
        <v>0</v>
      </c>
      <c r="W89" s="297">
        <f t="shared" si="15"/>
        <v>0</v>
      </c>
      <c r="X89" s="297">
        <f t="shared" si="16"/>
        <v>0</v>
      </c>
      <c r="Y89" s="297">
        <f t="shared" si="19"/>
        <v>0</v>
      </c>
    </row>
    <row r="90" spans="1:25" ht="13.5" customHeight="1">
      <c r="A90" s="296">
        <v>86</v>
      </c>
      <c r="B90" s="161"/>
      <c r="C90" s="160"/>
      <c r="D90" s="161"/>
      <c r="E90" s="162"/>
      <c r="F90" s="344"/>
      <c r="G90" s="344"/>
      <c r="H90" s="297">
        <f t="shared" si="0"/>
        <v>0</v>
      </c>
      <c r="I90" s="297">
        <f t="shared" si="1"/>
        <v>0</v>
      </c>
      <c r="J90" s="297">
        <f t="shared" si="2"/>
        <v>0</v>
      </c>
      <c r="K90" s="297">
        <f t="shared" si="3"/>
        <v>0</v>
      </c>
      <c r="L90" s="297">
        <f t="shared" si="4"/>
        <v>0</v>
      </c>
      <c r="M90" s="297">
        <f t="shared" si="5"/>
        <v>0</v>
      </c>
      <c r="N90" s="297">
        <f t="shared" si="6"/>
        <v>0</v>
      </c>
      <c r="O90" s="297">
        <f t="shared" si="7"/>
        <v>0</v>
      </c>
      <c r="P90" s="297">
        <f t="shared" si="8"/>
        <v>0</v>
      </c>
      <c r="Q90" s="297">
        <f t="shared" si="9"/>
        <v>0</v>
      </c>
      <c r="R90" s="297">
        <f t="shared" si="10"/>
        <v>0</v>
      </c>
      <c r="S90" s="297">
        <f t="shared" si="11"/>
        <v>0</v>
      </c>
      <c r="T90" s="297">
        <f t="shared" si="12"/>
        <v>0</v>
      </c>
      <c r="U90" s="297">
        <f t="shared" si="13"/>
        <v>0</v>
      </c>
      <c r="V90" s="297">
        <f t="shared" si="14"/>
        <v>0</v>
      </c>
      <c r="W90" s="297">
        <f t="shared" si="15"/>
        <v>0</v>
      </c>
      <c r="X90" s="297">
        <f t="shared" si="16"/>
        <v>0</v>
      </c>
      <c r="Y90" s="297">
        <f t="shared" si="19"/>
        <v>0</v>
      </c>
    </row>
    <row r="91" spans="1:25" ht="13.5" customHeight="1">
      <c r="A91" s="296">
        <v>87</v>
      </c>
      <c r="B91" s="161"/>
      <c r="C91" s="160"/>
      <c r="D91" s="161"/>
      <c r="E91" s="162"/>
      <c r="F91" s="344"/>
      <c r="G91" s="344"/>
      <c r="H91" s="297">
        <f t="shared" si="0"/>
        <v>0</v>
      </c>
      <c r="I91" s="297">
        <f t="shared" si="1"/>
        <v>0</v>
      </c>
      <c r="J91" s="297">
        <f t="shared" si="2"/>
        <v>0</v>
      </c>
      <c r="K91" s="297">
        <f t="shared" si="3"/>
        <v>0</v>
      </c>
      <c r="L91" s="297">
        <f t="shared" si="4"/>
        <v>0</v>
      </c>
      <c r="M91" s="297">
        <f t="shared" si="5"/>
        <v>0</v>
      </c>
      <c r="N91" s="297">
        <f t="shared" si="6"/>
        <v>0</v>
      </c>
      <c r="O91" s="297">
        <f t="shared" si="7"/>
        <v>0</v>
      </c>
      <c r="P91" s="297">
        <f t="shared" si="8"/>
        <v>0</v>
      </c>
      <c r="Q91" s="297">
        <f t="shared" si="9"/>
        <v>0</v>
      </c>
      <c r="R91" s="297">
        <f t="shared" si="10"/>
        <v>0</v>
      </c>
      <c r="S91" s="297">
        <f t="shared" si="11"/>
        <v>0</v>
      </c>
      <c r="T91" s="297">
        <f t="shared" si="12"/>
        <v>0</v>
      </c>
      <c r="U91" s="297">
        <f t="shared" si="13"/>
        <v>0</v>
      </c>
      <c r="V91" s="297">
        <f t="shared" si="14"/>
        <v>0</v>
      </c>
      <c r="W91" s="297">
        <f t="shared" si="15"/>
        <v>0</v>
      </c>
      <c r="X91" s="297">
        <f t="shared" si="16"/>
        <v>0</v>
      </c>
      <c r="Y91" s="297">
        <f t="shared" si="19"/>
        <v>0</v>
      </c>
    </row>
    <row r="92" spans="1:25" ht="13.5" customHeight="1">
      <c r="A92" s="296">
        <v>88</v>
      </c>
      <c r="B92" s="161"/>
      <c r="C92" s="160"/>
      <c r="D92" s="161"/>
      <c r="E92" s="162"/>
      <c r="F92" s="344"/>
      <c r="G92" s="344"/>
      <c r="H92" s="297">
        <f t="shared" si="0"/>
        <v>0</v>
      </c>
      <c r="I92" s="297">
        <f t="shared" si="1"/>
        <v>0</v>
      </c>
      <c r="J92" s="297">
        <f t="shared" si="2"/>
        <v>0</v>
      </c>
      <c r="K92" s="297">
        <f t="shared" si="3"/>
        <v>0</v>
      </c>
      <c r="L92" s="297">
        <f t="shared" si="4"/>
        <v>0</v>
      </c>
      <c r="M92" s="297">
        <f t="shared" si="5"/>
        <v>0</v>
      </c>
      <c r="N92" s="297">
        <f t="shared" si="6"/>
        <v>0</v>
      </c>
      <c r="O92" s="297">
        <f t="shared" si="7"/>
        <v>0</v>
      </c>
      <c r="P92" s="297">
        <f t="shared" si="8"/>
        <v>0</v>
      </c>
      <c r="Q92" s="297">
        <f t="shared" si="9"/>
        <v>0</v>
      </c>
      <c r="R92" s="297">
        <f t="shared" si="10"/>
        <v>0</v>
      </c>
      <c r="S92" s="297">
        <f t="shared" si="11"/>
        <v>0</v>
      </c>
      <c r="T92" s="297">
        <f t="shared" si="12"/>
        <v>0</v>
      </c>
      <c r="U92" s="297">
        <f t="shared" si="13"/>
        <v>0</v>
      </c>
      <c r="V92" s="297">
        <f t="shared" si="14"/>
        <v>0</v>
      </c>
      <c r="W92" s="297">
        <f t="shared" si="15"/>
        <v>0</v>
      </c>
      <c r="X92" s="297">
        <f t="shared" si="16"/>
        <v>0</v>
      </c>
      <c r="Y92" s="297">
        <f t="shared" si="19"/>
        <v>0</v>
      </c>
    </row>
    <row r="93" spans="1:25" ht="13.5" customHeight="1">
      <c r="A93" s="296">
        <v>89</v>
      </c>
      <c r="B93" s="161"/>
      <c r="C93" s="160"/>
      <c r="D93" s="161"/>
      <c r="E93" s="162"/>
      <c r="F93" s="344"/>
      <c r="G93" s="344"/>
      <c r="H93" s="297">
        <f t="shared" si="0"/>
        <v>0</v>
      </c>
      <c r="I93" s="297">
        <f t="shared" si="1"/>
        <v>0</v>
      </c>
      <c r="J93" s="297">
        <f t="shared" si="2"/>
        <v>0</v>
      </c>
      <c r="K93" s="297">
        <f t="shared" si="3"/>
        <v>0</v>
      </c>
      <c r="L93" s="297">
        <f t="shared" si="4"/>
        <v>0</v>
      </c>
      <c r="M93" s="297">
        <f t="shared" si="5"/>
        <v>0</v>
      </c>
      <c r="N93" s="297">
        <f t="shared" si="6"/>
        <v>0</v>
      </c>
      <c r="O93" s="297">
        <f t="shared" si="7"/>
        <v>0</v>
      </c>
      <c r="P93" s="297">
        <f t="shared" si="8"/>
        <v>0</v>
      </c>
      <c r="Q93" s="297">
        <f t="shared" si="9"/>
        <v>0</v>
      </c>
      <c r="R93" s="297">
        <f t="shared" si="10"/>
        <v>0</v>
      </c>
      <c r="S93" s="297">
        <f t="shared" si="11"/>
        <v>0</v>
      </c>
      <c r="T93" s="297">
        <f t="shared" si="12"/>
        <v>0</v>
      </c>
      <c r="U93" s="297">
        <f t="shared" si="13"/>
        <v>0</v>
      </c>
      <c r="V93" s="297">
        <f t="shared" si="14"/>
        <v>0</v>
      </c>
      <c r="W93" s="297">
        <f t="shared" si="15"/>
        <v>0</v>
      </c>
      <c r="X93" s="297">
        <f t="shared" si="16"/>
        <v>0</v>
      </c>
      <c r="Y93" s="297">
        <f t="shared" si="19"/>
        <v>0</v>
      </c>
    </row>
    <row r="94" spans="1:25" ht="13.5" customHeight="1">
      <c r="A94" s="296">
        <v>90</v>
      </c>
      <c r="B94" s="161"/>
      <c r="C94" s="160"/>
      <c r="D94" s="161"/>
      <c r="E94" s="162"/>
      <c r="F94" s="344"/>
      <c r="G94" s="344"/>
      <c r="H94" s="297">
        <f t="shared" si="0"/>
        <v>0</v>
      </c>
      <c r="I94" s="297">
        <f t="shared" si="1"/>
        <v>0</v>
      </c>
      <c r="J94" s="297">
        <f t="shared" si="2"/>
        <v>0</v>
      </c>
      <c r="K94" s="297">
        <f t="shared" si="3"/>
        <v>0</v>
      </c>
      <c r="L94" s="297">
        <f t="shared" si="4"/>
        <v>0</v>
      </c>
      <c r="M94" s="297">
        <f t="shared" si="5"/>
        <v>0</v>
      </c>
      <c r="N94" s="297">
        <f t="shared" si="6"/>
        <v>0</v>
      </c>
      <c r="O94" s="297">
        <f t="shared" si="7"/>
        <v>0</v>
      </c>
      <c r="P94" s="297">
        <f t="shared" si="8"/>
        <v>0</v>
      </c>
      <c r="Q94" s="297">
        <f t="shared" si="9"/>
        <v>0</v>
      </c>
      <c r="R94" s="297">
        <f t="shared" si="10"/>
        <v>0</v>
      </c>
      <c r="S94" s="297">
        <f t="shared" si="11"/>
        <v>0</v>
      </c>
      <c r="T94" s="297">
        <f t="shared" si="12"/>
        <v>0</v>
      </c>
      <c r="U94" s="297">
        <f t="shared" si="13"/>
        <v>0</v>
      </c>
      <c r="V94" s="297">
        <f t="shared" si="14"/>
        <v>0</v>
      </c>
      <c r="W94" s="297">
        <f t="shared" si="15"/>
        <v>0</v>
      </c>
      <c r="X94" s="297">
        <f t="shared" si="16"/>
        <v>0</v>
      </c>
      <c r="Y94" s="297">
        <f t="shared" si="19"/>
        <v>0</v>
      </c>
    </row>
    <row r="95" spans="1:25" ht="13.5" customHeight="1">
      <c r="A95" s="296">
        <v>91</v>
      </c>
      <c r="B95" s="161"/>
      <c r="C95" s="160"/>
      <c r="D95" s="161"/>
      <c r="E95" s="162"/>
      <c r="F95" s="344"/>
      <c r="G95" s="344"/>
      <c r="H95" s="297">
        <f t="shared" si="0"/>
        <v>0</v>
      </c>
      <c r="I95" s="297">
        <f t="shared" si="1"/>
        <v>0</v>
      </c>
      <c r="J95" s="297">
        <f t="shared" si="2"/>
        <v>0</v>
      </c>
      <c r="K95" s="297">
        <f t="shared" si="3"/>
        <v>0</v>
      </c>
      <c r="L95" s="297">
        <f t="shared" si="4"/>
        <v>0</v>
      </c>
      <c r="M95" s="297">
        <f t="shared" si="5"/>
        <v>0</v>
      </c>
      <c r="N95" s="297">
        <f t="shared" si="6"/>
        <v>0</v>
      </c>
      <c r="O95" s="297">
        <f t="shared" si="7"/>
        <v>0</v>
      </c>
      <c r="P95" s="297">
        <f t="shared" si="8"/>
        <v>0</v>
      </c>
      <c r="Q95" s="297">
        <f t="shared" si="9"/>
        <v>0</v>
      </c>
      <c r="R95" s="297">
        <f t="shared" si="10"/>
        <v>0</v>
      </c>
      <c r="S95" s="297">
        <f t="shared" si="11"/>
        <v>0</v>
      </c>
      <c r="T95" s="297">
        <f t="shared" si="12"/>
        <v>0</v>
      </c>
      <c r="U95" s="297">
        <f t="shared" si="13"/>
        <v>0</v>
      </c>
      <c r="V95" s="297">
        <f t="shared" si="14"/>
        <v>0</v>
      </c>
      <c r="W95" s="297">
        <f t="shared" si="15"/>
        <v>0</v>
      </c>
      <c r="X95" s="297">
        <f t="shared" si="16"/>
        <v>0</v>
      </c>
      <c r="Y95" s="297">
        <f t="shared" si="19"/>
        <v>0</v>
      </c>
    </row>
    <row r="96" spans="1:25" ht="13.5" customHeight="1">
      <c r="A96" s="296">
        <v>92</v>
      </c>
      <c r="B96" s="161"/>
      <c r="C96" s="160"/>
      <c r="D96" s="161"/>
      <c r="E96" s="162"/>
      <c r="F96" s="344"/>
      <c r="G96" s="344"/>
      <c r="H96" s="297">
        <f t="shared" si="0"/>
        <v>0</v>
      </c>
      <c r="I96" s="297">
        <f t="shared" si="1"/>
        <v>0</v>
      </c>
      <c r="J96" s="297">
        <f t="shared" si="2"/>
        <v>0</v>
      </c>
      <c r="K96" s="297">
        <f t="shared" si="3"/>
        <v>0</v>
      </c>
      <c r="L96" s="297">
        <f t="shared" si="4"/>
        <v>0</v>
      </c>
      <c r="M96" s="297">
        <f t="shared" si="5"/>
        <v>0</v>
      </c>
      <c r="N96" s="297">
        <f t="shared" si="6"/>
        <v>0</v>
      </c>
      <c r="O96" s="297">
        <f t="shared" si="7"/>
        <v>0</v>
      </c>
      <c r="P96" s="297">
        <f t="shared" si="8"/>
        <v>0</v>
      </c>
      <c r="Q96" s="297">
        <f t="shared" si="9"/>
        <v>0</v>
      </c>
      <c r="R96" s="297">
        <f t="shared" si="10"/>
        <v>0</v>
      </c>
      <c r="S96" s="297">
        <f t="shared" si="11"/>
        <v>0</v>
      </c>
      <c r="T96" s="297">
        <f t="shared" si="12"/>
        <v>0</v>
      </c>
      <c r="U96" s="297">
        <f t="shared" si="13"/>
        <v>0</v>
      </c>
      <c r="V96" s="297">
        <f t="shared" si="14"/>
        <v>0</v>
      </c>
      <c r="W96" s="297">
        <f t="shared" si="15"/>
        <v>0</v>
      </c>
      <c r="X96" s="297">
        <f t="shared" si="16"/>
        <v>0</v>
      </c>
      <c r="Y96" s="297">
        <f t="shared" si="19"/>
        <v>0</v>
      </c>
    </row>
    <row r="97" spans="1:25" ht="13.5" customHeight="1">
      <c r="A97" s="296">
        <v>93</v>
      </c>
      <c r="B97" s="161"/>
      <c r="C97" s="160"/>
      <c r="D97" s="161"/>
      <c r="E97" s="162"/>
      <c r="F97" s="344"/>
      <c r="G97" s="344"/>
      <c r="H97" s="297">
        <f t="shared" si="0"/>
        <v>0</v>
      </c>
      <c r="I97" s="297">
        <f t="shared" si="1"/>
        <v>0</v>
      </c>
      <c r="J97" s="297">
        <f t="shared" si="2"/>
        <v>0</v>
      </c>
      <c r="K97" s="297">
        <f t="shared" si="3"/>
        <v>0</v>
      </c>
      <c r="L97" s="297">
        <f t="shared" si="4"/>
        <v>0</v>
      </c>
      <c r="M97" s="297">
        <f t="shared" si="5"/>
        <v>0</v>
      </c>
      <c r="N97" s="297">
        <f t="shared" si="6"/>
        <v>0</v>
      </c>
      <c r="O97" s="297">
        <f t="shared" si="7"/>
        <v>0</v>
      </c>
      <c r="P97" s="297">
        <f t="shared" si="8"/>
        <v>0</v>
      </c>
      <c r="Q97" s="297">
        <f t="shared" si="9"/>
        <v>0</v>
      </c>
      <c r="R97" s="297">
        <f t="shared" si="10"/>
        <v>0</v>
      </c>
      <c r="S97" s="297">
        <f t="shared" si="11"/>
        <v>0</v>
      </c>
      <c r="T97" s="297">
        <f t="shared" si="12"/>
        <v>0</v>
      </c>
      <c r="U97" s="297">
        <f t="shared" si="13"/>
        <v>0</v>
      </c>
      <c r="V97" s="297">
        <f t="shared" si="14"/>
        <v>0</v>
      </c>
      <c r="W97" s="297">
        <f t="shared" si="15"/>
        <v>0</v>
      </c>
      <c r="X97" s="297">
        <f t="shared" si="16"/>
        <v>0</v>
      </c>
      <c r="Y97" s="297">
        <f t="shared" si="19"/>
        <v>0</v>
      </c>
    </row>
    <row r="98" spans="1:25" ht="13.5" customHeight="1">
      <c r="A98" s="296">
        <v>94</v>
      </c>
      <c r="B98" s="161"/>
      <c r="C98" s="160"/>
      <c r="D98" s="161"/>
      <c r="E98" s="162"/>
      <c r="F98" s="344"/>
      <c r="G98" s="344"/>
      <c r="H98" s="297">
        <f t="shared" si="0"/>
        <v>0</v>
      </c>
      <c r="I98" s="297">
        <f t="shared" si="1"/>
        <v>0</v>
      </c>
      <c r="J98" s="297">
        <f t="shared" si="2"/>
        <v>0</v>
      </c>
      <c r="K98" s="297">
        <f t="shared" si="3"/>
        <v>0</v>
      </c>
      <c r="L98" s="297">
        <f t="shared" si="4"/>
        <v>0</v>
      </c>
      <c r="M98" s="297">
        <f t="shared" si="5"/>
        <v>0</v>
      </c>
      <c r="N98" s="297">
        <f t="shared" si="6"/>
        <v>0</v>
      </c>
      <c r="O98" s="297">
        <f t="shared" si="7"/>
        <v>0</v>
      </c>
      <c r="P98" s="297">
        <f t="shared" si="8"/>
        <v>0</v>
      </c>
      <c r="Q98" s="297">
        <f t="shared" si="9"/>
        <v>0</v>
      </c>
      <c r="R98" s="297">
        <f t="shared" si="10"/>
        <v>0</v>
      </c>
      <c r="S98" s="297">
        <f t="shared" si="11"/>
        <v>0</v>
      </c>
      <c r="T98" s="297">
        <f t="shared" si="12"/>
        <v>0</v>
      </c>
      <c r="U98" s="297">
        <f t="shared" si="13"/>
        <v>0</v>
      </c>
      <c r="V98" s="297">
        <f t="shared" si="14"/>
        <v>0</v>
      </c>
      <c r="W98" s="297">
        <f t="shared" si="15"/>
        <v>0</v>
      </c>
      <c r="X98" s="297">
        <f t="shared" si="16"/>
        <v>0</v>
      </c>
      <c r="Y98" s="297">
        <f t="shared" si="19"/>
        <v>0</v>
      </c>
    </row>
    <row r="99" spans="1:25" ht="13.5" customHeight="1">
      <c r="A99" s="296">
        <v>95</v>
      </c>
      <c r="B99" s="161"/>
      <c r="C99" s="160"/>
      <c r="D99" s="161"/>
      <c r="E99" s="162"/>
      <c r="F99" s="344"/>
      <c r="G99" s="344"/>
      <c r="H99" s="297">
        <f t="shared" si="0"/>
        <v>0</v>
      </c>
      <c r="I99" s="297">
        <f t="shared" si="1"/>
        <v>0</v>
      </c>
      <c r="J99" s="297">
        <f t="shared" si="2"/>
        <v>0</v>
      </c>
      <c r="K99" s="297">
        <f t="shared" si="3"/>
        <v>0</v>
      </c>
      <c r="L99" s="297">
        <f t="shared" si="4"/>
        <v>0</v>
      </c>
      <c r="M99" s="297">
        <f t="shared" si="5"/>
        <v>0</v>
      </c>
      <c r="N99" s="297">
        <f t="shared" si="6"/>
        <v>0</v>
      </c>
      <c r="O99" s="297">
        <f t="shared" si="7"/>
        <v>0</v>
      </c>
      <c r="P99" s="297">
        <f t="shared" si="8"/>
        <v>0</v>
      </c>
      <c r="Q99" s="297">
        <f t="shared" si="9"/>
        <v>0</v>
      </c>
      <c r="R99" s="297">
        <f t="shared" si="10"/>
        <v>0</v>
      </c>
      <c r="S99" s="297">
        <f t="shared" si="11"/>
        <v>0</v>
      </c>
      <c r="T99" s="297">
        <f t="shared" si="12"/>
        <v>0</v>
      </c>
      <c r="U99" s="297">
        <f t="shared" si="13"/>
        <v>0</v>
      </c>
      <c r="V99" s="297">
        <f t="shared" si="14"/>
        <v>0</v>
      </c>
      <c r="W99" s="297">
        <f t="shared" si="15"/>
        <v>0</v>
      </c>
      <c r="X99" s="297">
        <f t="shared" si="16"/>
        <v>0</v>
      </c>
      <c r="Y99" s="297">
        <f t="shared" si="19"/>
        <v>0</v>
      </c>
    </row>
    <row r="100" spans="1:25" ht="13.5" customHeight="1">
      <c r="A100" s="296">
        <v>96</v>
      </c>
      <c r="B100" s="161"/>
      <c r="C100" s="160"/>
      <c r="D100" s="161"/>
      <c r="E100" s="162"/>
      <c r="F100" s="344"/>
      <c r="G100" s="344"/>
      <c r="H100" s="297">
        <f t="shared" si="0"/>
        <v>0</v>
      </c>
      <c r="I100" s="297">
        <f t="shared" si="1"/>
        <v>0</v>
      </c>
      <c r="J100" s="297">
        <f t="shared" si="2"/>
        <v>0</v>
      </c>
      <c r="K100" s="297">
        <f t="shared" si="3"/>
        <v>0</v>
      </c>
      <c r="L100" s="297">
        <f t="shared" si="4"/>
        <v>0</v>
      </c>
      <c r="M100" s="297">
        <f t="shared" si="5"/>
        <v>0</v>
      </c>
      <c r="N100" s="297">
        <f t="shared" si="6"/>
        <v>0</v>
      </c>
      <c r="O100" s="297">
        <f t="shared" si="7"/>
        <v>0</v>
      </c>
      <c r="P100" s="297">
        <f t="shared" si="8"/>
        <v>0</v>
      </c>
      <c r="Q100" s="297">
        <f t="shared" si="9"/>
        <v>0</v>
      </c>
      <c r="R100" s="297">
        <f t="shared" si="10"/>
        <v>0</v>
      </c>
      <c r="S100" s="297">
        <f t="shared" si="11"/>
        <v>0</v>
      </c>
      <c r="T100" s="297">
        <f t="shared" si="12"/>
        <v>0</v>
      </c>
      <c r="U100" s="297">
        <f t="shared" si="13"/>
        <v>0</v>
      </c>
      <c r="V100" s="297">
        <f t="shared" si="14"/>
        <v>0</v>
      </c>
      <c r="W100" s="297">
        <f t="shared" si="15"/>
        <v>0</v>
      </c>
      <c r="X100" s="297">
        <f t="shared" si="16"/>
        <v>0</v>
      </c>
      <c r="Y100" s="297">
        <f t="shared" si="19"/>
        <v>0</v>
      </c>
    </row>
    <row r="101" spans="1:25" ht="13.5" customHeight="1">
      <c r="A101" s="296">
        <v>97</v>
      </c>
      <c r="B101" s="161"/>
      <c r="C101" s="160"/>
      <c r="D101" s="161"/>
      <c r="E101" s="162"/>
      <c r="F101" s="344"/>
      <c r="G101" s="344"/>
      <c r="H101" s="297">
        <f t="shared" si="0"/>
        <v>0</v>
      </c>
      <c r="I101" s="297">
        <f t="shared" si="1"/>
        <v>0</v>
      </c>
      <c r="J101" s="297">
        <f t="shared" si="2"/>
        <v>0</v>
      </c>
      <c r="K101" s="297">
        <f t="shared" si="3"/>
        <v>0</v>
      </c>
      <c r="L101" s="297">
        <f t="shared" si="4"/>
        <v>0</v>
      </c>
      <c r="M101" s="297">
        <f t="shared" si="5"/>
        <v>0</v>
      </c>
      <c r="N101" s="297">
        <f t="shared" si="6"/>
        <v>0</v>
      </c>
      <c r="O101" s="297">
        <f t="shared" si="7"/>
        <v>0</v>
      </c>
      <c r="P101" s="297">
        <f t="shared" si="8"/>
        <v>0</v>
      </c>
      <c r="Q101" s="297">
        <f t="shared" si="9"/>
        <v>0</v>
      </c>
      <c r="R101" s="297">
        <f t="shared" si="10"/>
        <v>0</v>
      </c>
      <c r="S101" s="297">
        <f t="shared" si="11"/>
        <v>0</v>
      </c>
      <c r="T101" s="297">
        <f t="shared" si="12"/>
        <v>0</v>
      </c>
      <c r="U101" s="297">
        <f t="shared" si="13"/>
        <v>0</v>
      </c>
      <c r="V101" s="297">
        <f t="shared" si="14"/>
        <v>0</v>
      </c>
      <c r="W101" s="297">
        <f t="shared" si="15"/>
        <v>0</v>
      </c>
      <c r="X101" s="297">
        <f t="shared" si="16"/>
        <v>0</v>
      </c>
      <c r="Y101" s="297">
        <f t="shared" si="19"/>
        <v>0</v>
      </c>
    </row>
    <row r="102" spans="1:25" ht="13.5" customHeight="1">
      <c r="A102" s="296">
        <v>98</v>
      </c>
      <c r="B102" s="161"/>
      <c r="C102" s="160"/>
      <c r="D102" s="161"/>
      <c r="E102" s="162"/>
      <c r="F102" s="344"/>
      <c r="G102" s="344"/>
      <c r="H102" s="297">
        <f t="shared" si="0"/>
        <v>0</v>
      </c>
      <c r="I102" s="297">
        <f t="shared" si="1"/>
        <v>0</v>
      </c>
      <c r="J102" s="297">
        <f t="shared" si="2"/>
        <v>0</v>
      </c>
      <c r="K102" s="297">
        <f t="shared" si="3"/>
        <v>0</v>
      </c>
      <c r="L102" s="297">
        <f t="shared" si="4"/>
        <v>0</v>
      </c>
      <c r="M102" s="297">
        <f t="shared" si="5"/>
        <v>0</v>
      </c>
      <c r="N102" s="297">
        <f t="shared" si="6"/>
        <v>0</v>
      </c>
      <c r="O102" s="297">
        <f t="shared" si="7"/>
        <v>0</v>
      </c>
      <c r="P102" s="297">
        <f t="shared" si="8"/>
        <v>0</v>
      </c>
      <c r="Q102" s="297">
        <f t="shared" si="9"/>
        <v>0</v>
      </c>
      <c r="R102" s="297">
        <f t="shared" si="10"/>
        <v>0</v>
      </c>
      <c r="S102" s="297">
        <f t="shared" si="11"/>
        <v>0</v>
      </c>
      <c r="T102" s="297">
        <f t="shared" si="12"/>
        <v>0</v>
      </c>
      <c r="U102" s="297">
        <f t="shared" si="13"/>
        <v>0</v>
      </c>
      <c r="V102" s="297">
        <f t="shared" si="14"/>
        <v>0</v>
      </c>
      <c r="W102" s="297">
        <f t="shared" si="15"/>
        <v>0</v>
      </c>
      <c r="X102" s="297">
        <f t="shared" si="16"/>
        <v>0</v>
      </c>
      <c r="Y102" s="297">
        <f t="shared" si="19"/>
        <v>0</v>
      </c>
    </row>
    <row r="103" spans="1:25" ht="13.5" customHeight="1">
      <c r="A103" s="296">
        <v>99</v>
      </c>
      <c r="B103" s="161"/>
      <c r="C103" s="160"/>
      <c r="D103" s="161"/>
      <c r="E103" s="162"/>
      <c r="F103" s="344"/>
      <c r="G103" s="344"/>
      <c r="H103" s="297">
        <f t="shared" si="0"/>
        <v>0</v>
      </c>
      <c r="I103" s="297">
        <f t="shared" si="1"/>
        <v>0</v>
      </c>
      <c r="J103" s="297">
        <f t="shared" si="2"/>
        <v>0</v>
      </c>
      <c r="K103" s="297">
        <f t="shared" si="3"/>
        <v>0</v>
      </c>
      <c r="L103" s="297">
        <f t="shared" si="4"/>
        <v>0</v>
      </c>
      <c r="M103" s="297">
        <f t="shared" si="5"/>
        <v>0</v>
      </c>
      <c r="N103" s="297">
        <f t="shared" si="6"/>
        <v>0</v>
      </c>
      <c r="O103" s="297">
        <f t="shared" si="7"/>
        <v>0</v>
      </c>
      <c r="P103" s="297">
        <f t="shared" si="8"/>
        <v>0</v>
      </c>
      <c r="Q103" s="297">
        <f t="shared" si="9"/>
        <v>0</v>
      </c>
      <c r="R103" s="297">
        <f t="shared" si="10"/>
        <v>0</v>
      </c>
      <c r="S103" s="297">
        <f t="shared" si="11"/>
        <v>0</v>
      </c>
      <c r="T103" s="297">
        <f t="shared" si="12"/>
        <v>0</v>
      </c>
      <c r="U103" s="297">
        <f t="shared" si="13"/>
        <v>0</v>
      </c>
      <c r="V103" s="297">
        <f t="shared" si="14"/>
        <v>0</v>
      </c>
      <c r="W103" s="297">
        <f t="shared" si="15"/>
        <v>0</v>
      </c>
      <c r="X103" s="297">
        <f t="shared" si="16"/>
        <v>0</v>
      </c>
      <c r="Y103" s="297">
        <f t="shared" si="19"/>
        <v>0</v>
      </c>
    </row>
    <row r="104" spans="1:25" ht="13.5" customHeight="1">
      <c r="A104" s="296">
        <v>100</v>
      </c>
      <c r="B104" s="161"/>
      <c r="C104" s="160"/>
      <c r="D104" s="161"/>
      <c r="E104" s="162"/>
      <c r="F104" s="344"/>
      <c r="G104" s="344"/>
      <c r="H104" s="297">
        <f t="shared" si="0"/>
        <v>0</v>
      </c>
      <c r="I104" s="297">
        <f t="shared" si="1"/>
        <v>0</v>
      </c>
      <c r="J104" s="297">
        <f t="shared" si="2"/>
        <v>0</v>
      </c>
      <c r="K104" s="297">
        <f t="shared" si="3"/>
        <v>0</v>
      </c>
      <c r="L104" s="297">
        <f t="shared" si="4"/>
        <v>0</v>
      </c>
      <c r="M104" s="297">
        <f t="shared" si="5"/>
        <v>0</v>
      </c>
      <c r="N104" s="297">
        <f t="shared" si="6"/>
        <v>0</v>
      </c>
      <c r="O104" s="297">
        <f t="shared" si="7"/>
        <v>0</v>
      </c>
      <c r="P104" s="297">
        <f t="shared" si="8"/>
        <v>0</v>
      </c>
      <c r="Q104" s="297">
        <f t="shared" si="9"/>
        <v>0</v>
      </c>
      <c r="R104" s="297">
        <f t="shared" si="10"/>
        <v>0</v>
      </c>
      <c r="S104" s="297">
        <f t="shared" si="11"/>
        <v>0</v>
      </c>
      <c r="T104" s="297">
        <f t="shared" si="12"/>
        <v>0</v>
      </c>
      <c r="U104" s="297">
        <f t="shared" si="13"/>
        <v>0</v>
      </c>
      <c r="V104" s="297">
        <f t="shared" si="14"/>
        <v>0</v>
      </c>
      <c r="W104" s="297">
        <f t="shared" si="15"/>
        <v>0</v>
      </c>
      <c r="X104" s="297">
        <f t="shared" si="16"/>
        <v>0</v>
      </c>
      <c r="Y104" s="297">
        <f t="shared" si="19"/>
        <v>0</v>
      </c>
    </row>
    <row r="105" spans="1:25" ht="13.5" customHeight="1">
      <c r="A105" s="296">
        <v>101</v>
      </c>
      <c r="B105" s="161"/>
      <c r="C105" s="160"/>
      <c r="D105" s="161"/>
      <c r="E105" s="162"/>
      <c r="F105" s="344"/>
      <c r="G105" s="344"/>
      <c r="H105" s="297">
        <f t="shared" si="0"/>
        <v>0</v>
      </c>
      <c r="I105" s="297">
        <f t="shared" si="1"/>
        <v>0</v>
      </c>
      <c r="J105" s="297">
        <f t="shared" si="2"/>
        <v>0</v>
      </c>
      <c r="K105" s="297">
        <f t="shared" si="3"/>
        <v>0</v>
      </c>
      <c r="L105" s="297">
        <f t="shared" si="4"/>
        <v>0</v>
      </c>
      <c r="M105" s="297">
        <f t="shared" si="5"/>
        <v>0</v>
      </c>
      <c r="N105" s="297">
        <f t="shared" si="6"/>
        <v>0</v>
      </c>
      <c r="O105" s="297">
        <f t="shared" si="7"/>
        <v>0</v>
      </c>
      <c r="P105" s="297">
        <f t="shared" si="8"/>
        <v>0</v>
      </c>
      <c r="Q105" s="297">
        <f t="shared" si="9"/>
        <v>0</v>
      </c>
      <c r="R105" s="297">
        <f t="shared" si="10"/>
        <v>0</v>
      </c>
      <c r="S105" s="297">
        <f t="shared" si="11"/>
        <v>0</v>
      </c>
      <c r="T105" s="297">
        <f t="shared" si="12"/>
        <v>0</v>
      </c>
      <c r="U105" s="297">
        <f t="shared" si="13"/>
        <v>0</v>
      </c>
      <c r="V105" s="297">
        <f t="shared" si="14"/>
        <v>0</v>
      </c>
      <c r="W105" s="297">
        <f t="shared" si="15"/>
        <v>0</v>
      </c>
      <c r="X105" s="297">
        <f t="shared" si="16"/>
        <v>0</v>
      </c>
      <c r="Y105" s="297">
        <f t="shared" si="19"/>
        <v>0</v>
      </c>
    </row>
    <row r="106" spans="1:25" ht="13.5" customHeight="1">
      <c r="A106" s="296">
        <v>102</v>
      </c>
      <c r="B106" s="161"/>
      <c r="C106" s="160"/>
      <c r="D106" s="161"/>
      <c r="E106" s="162"/>
      <c r="F106" s="344"/>
      <c r="G106" s="344"/>
      <c r="H106" s="297">
        <f t="shared" si="0"/>
        <v>0</v>
      </c>
      <c r="I106" s="297">
        <f t="shared" si="1"/>
        <v>0</v>
      </c>
      <c r="J106" s="297">
        <f t="shared" si="2"/>
        <v>0</v>
      </c>
      <c r="K106" s="297">
        <f t="shared" si="3"/>
        <v>0</v>
      </c>
      <c r="L106" s="297">
        <f t="shared" si="4"/>
        <v>0</v>
      </c>
      <c r="M106" s="297">
        <f t="shared" si="5"/>
        <v>0</v>
      </c>
      <c r="N106" s="297">
        <f t="shared" si="6"/>
        <v>0</v>
      </c>
      <c r="O106" s="297">
        <f t="shared" si="7"/>
        <v>0</v>
      </c>
      <c r="P106" s="297">
        <f t="shared" si="8"/>
        <v>0</v>
      </c>
      <c r="Q106" s="297">
        <f t="shared" si="9"/>
        <v>0</v>
      </c>
      <c r="R106" s="297">
        <f t="shared" si="10"/>
        <v>0</v>
      </c>
      <c r="S106" s="297">
        <f t="shared" si="11"/>
        <v>0</v>
      </c>
      <c r="T106" s="297">
        <f t="shared" si="12"/>
        <v>0</v>
      </c>
      <c r="U106" s="297">
        <f t="shared" si="13"/>
        <v>0</v>
      </c>
      <c r="V106" s="297">
        <f t="shared" si="14"/>
        <v>0</v>
      </c>
      <c r="W106" s="297">
        <f t="shared" si="15"/>
        <v>0</v>
      </c>
      <c r="X106" s="297">
        <f t="shared" si="16"/>
        <v>0</v>
      </c>
      <c r="Y106" s="297">
        <f t="shared" si="19"/>
        <v>0</v>
      </c>
    </row>
    <row r="107" spans="1:25" ht="13.5" customHeight="1">
      <c r="A107" s="296">
        <v>103</v>
      </c>
      <c r="B107" s="161"/>
      <c r="C107" s="160"/>
      <c r="D107" s="161"/>
      <c r="E107" s="162"/>
      <c r="F107" s="344"/>
      <c r="G107" s="344"/>
      <c r="H107" s="297">
        <f t="shared" si="0"/>
        <v>0</v>
      </c>
      <c r="I107" s="297">
        <f t="shared" si="1"/>
        <v>0</v>
      </c>
      <c r="J107" s="297">
        <f t="shared" si="2"/>
        <v>0</v>
      </c>
      <c r="K107" s="297">
        <f t="shared" si="3"/>
        <v>0</v>
      </c>
      <c r="L107" s="297">
        <f t="shared" si="4"/>
        <v>0</v>
      </c>
      <c r="M107" s="297">
        <f t="shared" si="5"/>
        <v>0</v>
      </c>
      <c r="N107" s="297">
        <f t="shared" si="6"/>
        <v>0</v>
      </c>
      <c r="O107" s="297">
        <f t="shared" si="7"/>
        <v>0</v>
      </c>
      <c r="P107" s="297">
        <f t="shared" si="8"/>
        <v>0</v>
      </c>
      <c r="Q107" s="297">
        <f t="shared" si="9"/>
        <v>0</v>
      </c>
      <c r="R107" s="297">
        <f t="shared" si="10"/>
        <v>0</v>
      </c>
      <c r="S107" s="297">
        <f t="shared" si="11"/>
        <v>0</v>
      </c>
      <c r="T107" s="297">
        <f t="shared" si="12"/>
        <v>0</v>
      </c>
      <c r="U107" s="297">
        <f t="shared" si="13"/>
        <v>0</v>
      </c>
      <c r="V107" s="297">
        <f t="shared" si="14"/>
        <v>0</v>
      </c>
      <c r="W107" s="297">
        <f t="shared" si="15"/>
        <v>0</v>
      </c>
      <c r="X107" s="297">
        <f t="shared" si="16"/>
        <v>0</v>
      </c>
      <c r="Y107" s="297">
        <f t="shared" si="19"/>
        <v>0</v>
      </c>
    </row>
    <row r="108" spans="1:25" ht="13.5" customHeight="1">
      <c r="A108" s="296">
        <v>104</v>
      </c>
      <c r="B108" s="161"/>
      <c r="C108" s="160"/>
      <c r="D108" s="161"/>
      <c r="E108" s="162"/>
      <c r="F108" s="344"/>
      <c r="G108" s="344"/>
      <c r="H108" s="297">
        <f t="shared" si="0"/>
        <v>0</v>
      </c>
      <c r="I108" s="297">
        <f t="shared" si="1"/>
        <v>0</v>
      </c>
      <c r="J108" s="297">
        <f t="shared" si="2"/>
        <v>0</v>
      </c>
      <c r="K108" s="297">
        <f t="shared" si="3"/>
        <v>0</v>
      </c>
      <c r="L108" s="297">
        <f t="shared" si="4"/>
        <v>0</v>
      </c>
      <c r="M108" s="297">
        <f t="shared" si="5"/>
        <v>0</v>
      </c>
      <c r="N108" s="297">
        <f t="shared" si="6"/>
        <v>0</v>
      </c>
      <c r="O108" s="297">
        <f t="shared" si="7"/>
        <v>0</v>
      </c>
      <c r="P108" s="297">
        <f t="shared" si="8"/>
        <v>0</v>
      </c>
      <c r="Q108" s="297">
        <f t="shared" si="9"/>
        <v>0</v>
      </c>
      <c r="R108" s="297">
        <f t="shared" si="10"/>
        <v>0</v>
      </c>
      <c r="S108" s="297">
        <f t="shared" si="11"/>
        <v>0</v>
      </c>
      <c r="T108" s="297">
        <f t="shared" si="12"/>
        <v>0</v>
      </c>
      <c r="U108" s="297">
        <f t="shared" si="13"/>
        <v>0</v>
      </c>
      <c r="V108" s="297">
        <f t="shared" si="14"/>
        <v>0</v>
      </c>
      <c r="W108" s="297">
        <f t="shared" si="15"/>
        <v>0</v>
      </c>
      <c r="X108" s="297">
        <f t="shared" si="16"/>
        <v>0</v>
      </c>
      <c r="Y108" s="297">
        <f t="shared" si="19"/>
        <v>0</v>
      </c>
    </row>
    <row r="109" spans="1:25" ht="13.5" customHeight="1">
      <c r="A109" s="296">
        <v>105</v>
      </c>
      <c r="B109" s="161"/>
      <c r="C109" s="160"/>
      <c r="D109" s="161"/>
      <c r="E109" s="162"/>
      <c r="F109" s="344"/>
      <c r="G109" s="344"/>
      <c r="H109" s="297">
        <f t="shared" si="0"/>
        <v>0</v>
      </c>
      <c r="I109" s="297">
        <f t="shared" si="1"/>
        <v>0</v>
      </c>
      <c r="J109" s="297">
        <f t="shared" si="2"/>
        <v>0</v>
      </c>
      <c r="K109" s="297">
        <f t="shared" si="3"/>
        <v>0</v>
      </c>
      <c r="L109" s="297">
        <f t="shared" si="4"/>
        <v>0</v>
      </c>
      <c r="M109" s="297">
        <f t="shared" si="5"/>
        <v>0</v>
      </c>
      <c r="N109" s="297">
        <f t="shared" si="6"/>
        <v>0</v>
      </c>
      <c r="O109" s="297">
        <f t="shared" si="7"/>
        <v>0</v>
      </c>
      <c r="P109" s="297">
        <f t="shared" si="8"/>
        <v>0</v>
      </c>
      <c r="Q109" s="297">
        <f t="shared" si="9"/>
        <v>0</v>
      </c>
      <c r="R109" s="297">
        <f t="shared" si="10"/>
        <v>0</v>
      </c>
      <c r="S109" s="297">
        <f t="shared" si="11"/>
        <v>0</v>
      </c>
      <c r="T109" s="297">
        <f t="shared" si="12"/>
        <v>0</v>
      </c>
      <c r="U109" s="297">
        <f t="shared" si="13"/>
        <v>0</v>
      </c>
      <c r="V109" s="297">
        <f t="shared" si="14"/>
        <v>0</v>
      </c>
      <c r="W109" s="297">
        <f t="shared" si="15"/>
        <v>0</v>
      </c>
      <c r="X109" s="297">
        <f t="shared" si="16"/>
        <v>0</v>
      </c>
      <c r="Y109" s="297">
        <f t="shared" si="19"/>
        <v>0</v>
      </c>
    </row>
    <row r="110" spans="1:25" ht="13.5" customHeight="1">
      <c r="A110" s="296">
        <v>106</v>
      </c>
      <c r="B110" s="161"/>
      <c r="C110" s="160"/>
      <c r="D110" s="161"/>
      <c r="E110" s="162"/>
      <c r="F110" s="344"/>
      <c r="G110" s="344"/>
      <c r="H110" s="297">
        <f t="shared" si="0"/>
        <v>0</v>
      </c>
      <c r="I110" s="297">
        <f t="shared" si="1"/>
        <v>0</v>
      </c>
      <c r="J110" s="297">
        <f t="shared" si="2"/>
        <v>0</v>
      </c>
      <c r="K110" s="297">
        <f t="shared" si="3"/>
        <v>0</v>
      </c>
      <c r="L110" s="297">
        <f t="shared" si="4"/>
        <v>0</v>
      </c>
      <c r="M110" s="297">
        <f t="shared" si="5"/>
        <v>0</v>
      </c>
      <c r="N110" s="297">
        <f t="shared" si="6"/>
        <v>0</v>
      </c>
      <c r="O110" s="297">
        <f t="shared" si="7"/>
        <v>0</v>
      </c>
      <c r="P110" s="297">
        <f t="shared" si="8"/>
        <v>0</v>
      </c>
      <c r="Q110" s="297">
        <f t="shared" si="9"/>
        <v>0</v>
      </c>
      <c r="R110" s="297">
        <f t="shared" si="10"/>
        <v>0</v>
      </c>
      <c r="S110" s="297">
        <f t="shared" si="11"/>
        <v>0</v>
      </c>
      <c r="T110" s="297">
        <f t="shared" si="12"/>
        <v>0</v>
      </c>
      <c r="U110" s="297">
        <f t="shared" si="13"/>
        <v>0</v>
      </c>
      <c r="V110" s="297">
        <f t="shared" si="14"/>
        <v>0</v>
      </c>
      <c r="W110" s="297">
        <f t="shared" si="15"/>
        <v>0</v>
      </c>
      <c r="X110" s="297">
        <f t="shared" si="16"/>
        <v>0</v>
      </c>
      <c r="Y110" s="297">
        <f t="shared" si="19"/>
        <v>0</v>
      </c>
    </row>
    <row r="111" spans="1:25" ht="13.5" customHeight="1">
      <c r="A111" s="296">
        <v>107</v>
      </c>
      <c r="B111" s="161"/>
      <c r="C111" s="160"/>
      <c r="D111" s="161"/>
      <c r="E111" s="162"/>
      <c r="F111" s="344"/>
      <c r="G111" s="344"/>
      <c r="H111" s="297">
        <f t="shared" si="0"/>
        <v>0</v>
      </c>
      <c r="I111" s="297">
        <f t="shared" si="1"/>
        <v>0</v>
      </c>
      <c r="J111" s="297">
        <f t="shared" si="2"/>
        <v>0</v>
      </c>
      <c r="K111" s="297">
        <f t="shared" si="3"/>
        <v>0</v>
      </c>
      <c r="L111" s="297">
        <f t="shared" si="4"/>
        <v>0</v>
      </c>
      <c r="M111" s="297">
        <f t="shared" si="5"/>
        <v>0</v>
      </c>
      <c r="N111" s="297">
        <f t="shared" si="6"/>
        <v>0</v>
      </c>
      <c r="O111" s="297">
        <f t="shared" si="7"/>
        <v>0</v>
      </c>
      <c r="P111" s="297">
        <f t="shared" si="8"/>
        <v>0</v>
      </c>
      <c r="Q111" s="297">
        <f t="shared" si="9"/>
        <v>0</v>
      </c>
      <c r="R111" s="297">
        <f t="shared" si="10"/>
        <v>0</v>
      </c>
      <c r="S111" s="297">
        <f t="shared" si="11"/>
        <v>0</v>
      </c>
      <c r="T111" s="297">
        <f t="shared" si="12"/>
        <v>0</v>
      </c>
      <c r="U111" s="297">
        <f t="shared" si="13"/>
        <v>0</v>
      </c>
      <c r="V111" s="297">
        <f t="shared" si="14"/>
        <v>0</v>
      </c>
      <c r="W111" s="297">
        <f t="shared" si="15"/>
        <v>0</v>
      </c>
      <c r="X111" s="297">
        <f t="shared" si="16"/>
        <v>0</v>
      </c>
      <c r="Y111" s="297">
        <f t="shared" si="19"/>
        <v>0</v>
      </c>
    </row>
    <row r="112" spans="1:25" ht="13.5" customHeight="1">
      <c r="A112" s="296">
        <v>108</v>
      </c>
      <c r="B112" s="161"/>
      <c r="C112" s="160"/>
      <c r="D112" s="161"/>
      <c r="E112" s="162"/>
      <c r="F112" s="344"/>
      <c r="G112" s="344"/>
      <c r="H112" s="297">
        <f t="shared" si="0"/>
        <v>0</v>
      </c>
      <c r="I112" s="297">
        <f t="shared" si="1"/>
        <v>0</v>
      </c>
      <c r="J112" s="297">
        <f t="shared" si="2"/>
        <v>0</v>
      </c>
      <c r="K112" s="297">
        <f t="shared" si="3"/>
        <v>0</v>
      </c>
      <c r="L112" s="297">
        <f t="shared" si="4"/>
        <v>0</v>
      </c>
      <c r="M112" s="297">
        <f t="shared" si="5"/>
        <v>0</v>
      </c>
      <c r="N112" s="297">
        <f t="shared" si="6"/>
        <v>0</v>
      </c>
      <c r="O112" s="297">
        <f t="shared" si="7"/>
        <v>0</v>
      </c>
      <c r="P112" s="297">
        <f t="shared" si="8"/>
        <v>0</v>
      </c>
      <c r="Q112" s="297">
        <f t="shared" si="9"/>
        <v>0</v>
      </c>
      <c r="R112" s="297">
        <f t="shared" si="10"/>
        <v>0</v>
      </c>
      <c r="S112" s="297">
        <f t="shared" si="11"/>
        <v>0</v>
      </c>
      <c r="T112" s="297">
        <f t="shared" si="12"/>
        <v>0</v>
      </c>
      <c r="U112" s="297">
        <f t="shared" si="13"/>
        <v>0</v>
      </c>
      <c r="V112" s="297">
        <f t="shared" si="14"/>
        <v>0</v>
      </c>
      <c r="W112" s="297">
        <f t="shared" si="15"/>
        <v>0</v>
      </c>
      <c r="X112" s="297">
        <f t="shared" si="16"/>
        <v>0</v>
      </c>
      <c r="Y112" s="297">
        <f t="shared" si="19"/>
        <v>0</v>
      </c>
    </row>
    <row r="113" spans="1:25" ht="13.5" customHeight="1">
      <c r="A113" s="296">
        <v>109</v>
      </c>
      <c r="B113" s="161"/>
      <c r="C113" s="160"/>
      <c r="D113" s="161"/>
      <c r="E113" s="162"/>
      <c r="F113" s="344"/>
      <c r="G113" s="344"/>
      <c r="H113" s="297">
        <f t="shared" si="0"/>
        <v>0</v>
      </c>
      <c r="I113" s="297">
        <f t="shared" si="1"/>
        <v>0</v>
      </c>
      <c r="J113" s="297">
        <f t="shared" si="2"/>
        <v>0</v>
      </c>
      <c r="K113" s="297">
        <f t="shared" si="3"/>
        <v>0</v>
      </c>
      <c r="L113" s="297">
        <f t="shared" si="4"/>
        <v>0</v>
      </c>
      <c r="M113" s="297">
        <f t="shared" si="5"/>
        <v>0</v>
      </c>
      <c r="N113" s="297">
        <f t="shared" si="6"/>
        <v>0</v>
      </c>
      <c r="O113" s="297">
        <f t="shared" si="7"/>
        <v>0</v>
      </c>
      <c r="P113" s="297">
        <f t="shared" si="8"/>
        <v>0</v>
      </c>
      <c r="Q113" s="297">
        <f t="shared" si="9"/>
        <v>0</v>
      </c>
      <c r="R113" s="297">
        <f t="shared" si="10"/>
        <v>0</v>
      </c>
      <c r="S113" s="297">
        <f t="shared" si="11"/>
        <v>0</v>
      </c>
      <c r="T113" s="297">
        <f t="shared" si="12"/>
        <v>0</v>
      </c>
      <c r="U113" s="297">
        <f t="shared" si="13"/>
        <v>0</v>
      </c>
      <c r="V113" s="297">
        <f t="shared" si="14"/>
        <v>0</v>
      </c>
      <c r="W113" s="297">
        <f t="shared" si="15"/>
        <v>0</v>
      </c>
      <c r="X113" s="297">
        <f t="shared" si="16"/>
        <v>0</v>
      </c>
      <c r="Y113" s="297">
        <f t="shared" si="19"/>
        <v>0</v>
      </c>
    </row>
    <row r="114" spans="1:25" ht="13.5" customHeight="1">
      <c r="A114" s="296">
        <v>110</v>
      </c>
      <c r="B114" s="161"/>
      <c r="C114" s="160"/>
      <c r="D114" s="161"/>
      <c r="E114" s="162"/>
      <c r="F114" s="344"/>
      <c r="G114" s="344"/>
      <c r="H114" s="297">
        <f t="shared" si="0"/>
        <v>0</v>
      </c>
      <c r="I114" s="297">
        <f t="shared" si="1"/>
        <v>0</v>
      </c>
      <c r="J114" s="297">
        <f t="shared" si="2"/>
        <v>0</v>
      </c>
      <c r="K114" s="297">
        <f t="shared" si="3"/>
        <v>0</v>
      </c>
      <c r="L114" s="297">
        <f t="shared" si="4"/>
        <v>0</v>
      </c>
      <c r="M114" s="297">
        <f t="shared" si="5"/>
        <v>0</v>
      </c>
      <c r="N114" s="297">
        <f t="shared" si="6"/>
        <v>0</v>
      </c>
      <c r="O114" s="297">
        <f t="shared" si="7"/>
        <v>0</v>
      </c>
      <c r="P114" s="297">
        <f t="shared" si="8"/>
        <v>0</v>
      </c>
      <c r="Q114" s="297">
        <f t="shared" si="9"/>
        <v>0</v>
      </c>
      <c r="R114" s="297">
        <f t="shared" si="10"/>
        <v>0</v>
      </c>
      <c r="S114" s="297">
        <f t="shared" si="11"/>
        <v>0</v>
      </c>
      <c r="T114" s="297">
        <f t="shared" si="12"/>
        <v>0</v>
      </c>
      <c r="U114" s="297">
        <f t="shared" si="13"/>
        <v>0</v>
      </c>
      <c r="V114" s="297">
        <f t="shared" si="14"/>
        <v>0</v>
      </c>
      <c r="W114" s="297">
        <f t="shared" si="15"/>
        <v>0</v>
      </c>
      <c r="X114" s="297">
        <f t="shared" si="16"/>
        <v>0</v>
      </c>
      <c r="Y114" s="297">
        <f t="shared" si="19"/>
        <v>0</v>
      </c>
    </row>
    <row r="115" spans="1:25" ht="13.5" customHeight="1">
      <c r="A115" s="296">
        <v>111</v>
      </c>
      <c r="B115" s="161"/>
      <c r="C115" s="160"/>
      <c r="D115" s="161"/>
      <c r="E115" s="162"/>
      <c r="F115" s="344"/>
      <c r="G115" s="344"/>
      <c r="H115" s="297">
        <f t="shared" si="0"/>
        <v>0</v>
      </c>
      <c r="I115" s="297">
        <f t="shared" si="1"/>
        <v>0</v>
      </c>
      <c r="J115" s="297">
        <f t="shared" si="2"/>
        <v>0</v>
      </c>
      <c r="K115" s="297">
        <f t="shared" si="3"/>
        <v>0</v>
      </c>
      <c r="L115" s="297">
        <f t="shared" si="4"/>
        <v>0</v>
      </c>
      <c r="M115" s="297">
        <f t="shared" si="5"/>
        <v>0</v>
      </c>
      <c r="N115" s="297">
        <f t="shared" si="6"/>
        <v>0</v>
      </c>
      <c r="O115" s="297">
        <f t="shared" si="7"/>
        <v>0</v>
      </c>
      <c r="P115" s="297">
        <f t="shared" si="8"/>
        <v>0</v>
      </c>
      <c r="Q115" s="297">
        <f t="shared" si="9"/>
        <v>0</v>
      </c>
      <c r="R115" s="297">
        <f t="shared" si="10"/>
        <v>0</v>
      </c>
      <c r="S115" s="297">
        <f t="shared" si="11"/>
        <v>0</v>
      </c>
      <c r="T115" s="297">
        <f t="shared" si="12"/>
        <v>0</v>
      </c>
      <c r="U115" s="297">
        <f t="shared" si="13"/>
        <v>0</v>
      </c>
      <c r="V115" s="297">
        <f t="shared" si="14"/>
        <v>0</v>
      </c>
      <c r="W115" s="297">
        <f t="shared" si="15"/>
        <v>0</v>
      </c>
      <c r="X115" s="297">
        <f t="shared" si="16"/>
        <v>0</v>
      </c>
      <c r="Y115" s="297">
        <f aca="true" t="shared" si="20" ref="Y115:Y124">SUM(H115:X115)</f>
        <v>0</v>
      </c>
    </row>
    <row r="116" spans="1:25" ht="13.5" customHeight="1">
      <c r="A116" s="296">
        <v>112</v>
      </c>
      <c r="B116" s="161"/>
      <c r="C116" s="160"/>
      <c r="D116" s="161"/>
      <c r="E116" s="162"/>
      <c r="F116" s="344"/>
      <c r="G116" s="344"/>
      <c r="H116" s="297">
        <f t="shared" si="0"/>
        <v>0</v>
      </c>
      <c r="I116" s="297">
        <f t="shared" si="1"/>
        <v>0</v>
      </c>
      <c r="J116" s="297">
        <f t="shared" si="2"/>
        <v>0</v>
      </c>
      <c r="K116" s="297">
        <f t="shared" si="3"/>
        <v>0</v>
      </c>
      <c r="L116" s="297">
        <f t="shared" si="4"/>
        <v>0</v>
      </c>
      <c r="M116" s="297">
        <f t="shared" si="5"/>
        <v>0</v>
      </c>
      <c r="N116" s="297">
        <f t="shared" si="6"/>
        <v>0</v>
      </c>
      <c r="O116" s="297">
        <f t="shared" si="7"/>
        <v>0</v>
      </c>
      <c r="P116" s="297">
        <f t="shared" si="8"/>
        <v>0</v>
      </c>
      <c r="Q116" s="297">
        <f t="shared" si="9"/>
        <v>0</v>
      </c>
      <c r="R116" s="297">
        <f t="shared" si="10"/>
        <v>0</v>
      </c>
      <c r="S116" s="297">
        <f t="shared" si="11"/>
        <v>0</v>
      </c>
      <c r="T116" s="297">
        <f t="shared" si="12"/>
        <v>0</v>
      </c>
      <c r="U116" s="297">
        <f t="shared" si="13"/>
        <v>0</v>
      </c>
      <c r="V116" s="297">
        <f t="shared" si="14"/>
        <v>0</v>
      </c>
      <c r="W116" s="297">
        <f t="shared" si="15"/>
        <v>0</v>
      </c>
      <c r="X116" s="297">
        <f t="shared" si="16"/>
        <v>0</v>
      </c>
      <c r="Y116" s="297">
        <f t="shared" si="20"/>
        <v>0</v>
      </c>
    </row>
    <row r="117" spans="1:25" ht="13.5" customHeight="1">
      <c r="A117" s="296">
        <v>113</v>
      </c>
      <c r="B117" s="161"/>
      <c r="C117" s="160"/>
      <c r="D117" s="161"/>
      <c r="E117" s="162"/>
      <c r="F117" s="344"/>
      <c r="G117" s="344"/>
      <c r="H117" s="297">
        <f t="shared" si="0"/>
        <v>0</v>
      </c>
      <c r="I117" s="297">
        <f t="shared" si="1"/>
        <v>0</v>
      </c>
      <c r="J117" s="297">
        <f t="shared" si="2"/>
        <v>0</v>
      </c>
      <c r="K117" s="297">
        <f t="shared" si="3"/>
        <v>0</v>
      </c>
      <c r="L117" s="297">
        <f t="shared" si="4"/>
        <v>0</v>
      </c>
      <c r="M117" s="297">
        <f t="shared" si="5"/>
        <v>0</v>
      </c>
      <c r="N117" s="297">
        <f t="shared" si="6"/>
        <v>0</v>
      </c>
      <c r="O117" s="297">
        <f t="shared" si="7"/>
        <v>0</v>
      </c>
      <c r="P117" s="297">
        <f t="shared" si="8"/>
        <v>0</v>
      </c>
      <c r="Q117" s="297">
        <f t="shared" si="9"/>
        <v>0</v>
      </c>
      <c r="R117" s="297">
        <f t="shared" si="10"/>
        <v>0</v>
      </c>
      <c r="S117" s="297">
        <f t="shared" si="11"/>
        <v>0</v>
      </c>
      <c r="T117" s="297">
        <f t="shared" si="12"/>
        <v>0</v>
      </c>
      <c r="U117" s="297">
        <f t="shared" si="13"/>
        <v>0</v>
      </c>
      <c r="V117" s="297">
        <f t="shared" si="14"/>
        <v>0</v>
      </c>
      <c r="W117" s="297">
        <f t="shared" si="15"/>
        <v>0</v>
      </c>
      <c r="X117" s="297">
        <f t="shared" si="16"/>
        <v>0</v>
      </c>
      <c r="Y117" s="297">
        <f t="shared" si="20"/>
        <v>0</v>
      </c>
    </row>
    <row r="118" spans="1:25" ht="13.5" customHeight="1">
      <c r="A118" s="296">
        <v>114</v>
      </c>
      <c r="B118" s="161"/>
      <c r="C118" s="160"/>
      <c r="D118" s="161"/>
      <c r="E118" s="162"/>
      <c r="F118" s="344"/>
      <c r="G118" s="344"/>
      <c r="H118" s="297">
        <f t="shared" si="0"/>
        <v>0</v>
      </c>
      <c r="I118" s="297">
        <f t="shared" si="1"/>
        <v>0</v>
      </c>
      <c r="J118" s="297">
        <f t="shared" si="2"/>
        <v>0</v>
      </c>
      <c r="K118" s="297">
        <f t="shared" si="3"/>
        <v>0</v>
      </c>
      <c r="L118" s="297">
        <f t="shared" si="4"/>
        <v>0</v>
      </c>
      <c r="M118" s="297">
        <f t="shared" si="5"/>
        <v>0</v>
      </c>
      <c r="N118" s="297">
        <f t="shared" si="6"/>
        <v>0</v>
      </c>
      <c r="O118" s="297">
        <f t="shared" si="7"/>
        <v>0</v>
      </c>
      <c r="P118" s="297">
        <f t="shared" si="8"/>
        <v>0</v>
      </c>
      <c r="Q118" s="297">
        <f t="shared" si="9"/>
        <v>0</v>
      </c>
      <c r="R118" s="297">
        <f t="shared" si="10"/>
        <v>0</v>
      </c>
      <c r="S118" s="297">
        <f t="shared" si="11"/>
        <v>0</v>
      </c>
      <c r="T118" s="297">
        <f t="shared" si="12"/>
        <v>0</v>
      </c>
      <c r="U118" s="297">
        <f t="shared" si="13"/>
        <v>0</v>
      </c>
      <c r="V118" s="297">
        <f t="shared" si="14"/>
        <v>0</v>
      </c>
      <c r="W118" s="297">
        <f t="shared" si="15"/>
        <v>0</v>
      </c>
      <c r="X118" s="297">
        <f t="shared" si="16"/>
        <v>0</v>
      </c>
      <c r="Y118" s="297">
        <f t="shared" si="20"/>
        <v>0</v>
      </c>
    </row>
    <row r="119" spans="1:25" ht="13.5" customHeight="1">
      <c r="A119" s="296">
        <v>115</v>
      </c>
      <c r="B119" s="161"/>
      <c r="C119" s="160"/>
      <c r="D119" s="161"/>
      <c r="E119" s="162"/>
      <c r="F119" s="344"/>
      <c r="G119" s="344"/>
      <c r="H119" s="297">
        <f t="shared" si="0"/>
        <v>0</v>
      </c>
      <c r="I119" s="297">
        <f t="shared" si="1"/>
        <v>0</v>
      </c>
      <c r="J119" s="297">
        <f t="shared" si="2"/>
        <v>0</v>
      </c>
      <c r="K119" s="297">
        <f t="shared" si="3"/>
        <v>0</v>
      </c>
      <c r="L119" s="297">
        <f t="shared" si="4"/>
        <v>0</v>
      </c>
      <c r="M119" s="297">
        <f t="shared" si="5"/>
        <v>0</v>
      </c>
      <c r="N119" s="297">
        <f t="shared" si="6"/>
        <v>0</v>
      </c>
      <c r="O119" s="297">
        <f t="shared" si="7"/>
        <v>0</v>
      </c>
      <c r="P119" s="297">
        <f t="shared" si="8"/>
        <v>0</v>
      </c>
      <c r="Q119" s="297">
        <f t="shared" si="9"/>
        <v>0</v>
      </c>
      <c r="R119" s="297">
        <f t="shared" si="10"/>
        <v>0</v>
      </c>
      <c r="S119" s="297">
        <f t="shared" si="11"/>
        <v>0</v>
      </c>
      <c r="T119" s="297">
        <f t="shared" si="12"/>
        <v>0</v>
      </c>
      <c r="U119" s="297">
        <f t="shared" si="13"/>
        <v>0</v>
      </c>
      <c r="V119" s="297">
        <f t="shared" si="14"/>
        <v>0</v>
      </c>
      <c r="W119" s="297">
        <f t="shared" si="15"/>
        <v>0</v>
      </c>
      <c r="X119" s="297">
        <f t="shared" si="16"/>
        <v>0</v>
      </c>
      <c r="Y119" s="297">
        <f t="shared" si="20"/>
        <v>0</v>
      </c>
    </row>
    <row r="120" spans="1:25" ht="13.5" customHeight="1">
      <c r="A120" s="296">
        <v>116</v>
      </c>
      <c r="B120" s="161"/>
      <c r="C120" s="160"/>
      <c r="D120" s="161"/>
      <c r="E120" s="162"/>
      <c r="F120" s="344"/>
      <c r="G120" s="344"/>
      <c r="H120" s="297">
        <f t="shared" si="0"/>
        <v>0</v>
      </c>
      <c r="I120" s="297">
        <f t="shared" si="1"/>
        <v>0</v>
      </c>
      <c r="J120" s="297">
        <f t="shared" si="2"/>
        <v>0</v>
      </c>
      <c r="K120" s="297">
        <f t="shared" si="3"/>
        <v>0</v>
      </c>
      <c r="L120" s="297">
        <f t="shared" si="4"/>
        <v>0</v>
      </c>
      <c r="M120" s="297">
        <f t="shared" si="5"/>
        <v>0</v>
      </c>
      <c r="N120" s="297">
        <f t="shared" si="6"/>
        <v>0</v>
      </c>
      <c r="O120" s="297">
        <f t="shared" si="7"/>
        <v>0</v>
      </c>
      <c r="P120" s="297">
        <f t="shared" si="8"/>
        <v>0</v>
      </c>
      <c r="Q120" s="297">
        <f t="shared" si="9"/>
        <v>0</v>
      </c>
      <c r="R120" s="297">
        <f t="shared" si="10"/>
        <v>0</v>
      </c>
      <c r="S120" s="297">
        <f t="shared" si="11"/>
        <v>0</v>
      </c>
      <c r="T120" s="297">
        <f t="shared" si="12"/>
        <v>0</v>
      </c>
      <c r="U120" s="297">
        <f t="shared" si="13"/>
        <v>0</v>
      </c>
      <c r="V120" s="297">
        <f t="shared" si="14"/>
        <v>0</v>
      </c>
      <c r="W120" s="297">
        <f t="shared" si="15"/>
        <v>0</v>
      </c>
      <c r="X120" s="297">
        <f t="shared" si="16"/>
        <v>0</v>
      </c>
      <c r="Y120" s="297">
        <f t="shared" si="20"/>
        <v>0</v>
      </c>
    </row>
    <row r="121" spans="1:25" ht="13.5" customHeight="1">
      <c r="A121" s="296">
        <v>117</v>
      </c>
      <c r="B121" s="161"/>
      <c r="C121" s="160"/>
      <c r="D121" s="161"/>
      <c r="E121" s="162"/>
      <c r="F121" s="344"/>
      <c r="G121" s="344"/>
      <c r="H121" s="297">
        <f t="shared" si="0"/>
        <v>0</v>
      </c>
      <c r="I121" s="297">
        <f t="shared" si="1"/>
        <v>0</v>
      </c>
      <c r="J121" s="297">
        <f t="shared" si="2"/>
        <v>0</v>
      </c>
      <c r="K121" s="297">
        <f t="shared" si="3"/>
        <v>0</v>
      </c>
      <c r="L121" s="297">
        <f t="shared" si="4"/>
        <v>0</v>
      </c>
      <c r="M121" s="297">
        <f t="shared" si="5"/>
        <v>0</v>
      </c>
      <c r="N121" s="297">
        <f t="shared" si="6"/>
        <v>0</v>
      </c>
      <c r="O121" s="297">
        <f t="shared" si="7"/>
        <v>0</v>
      </c>
      <c r="P121" s="297">
        <f t="shared" si="8"/>
        <v>0</v>
      </c>
      <c r="Q121" s="297">
        <f t="shared" si="9"/>
        <v>0</v>
      </c>
      <c r="R121" s="297">
        <f t="shared" si="10"/>
        <v>0</v>
      </c>
      <c r="S121" s="297">
        <f t="shared" si="11"/>
        <v>0</v>
      </c>
      <c r="T121" s="297">
        <f t="shared" si="12"/>
        <v>0</v>
      </c>
      <c r="U121" s="297">
        <f t="shared" si="13"/>
        <v>0</v>
      </c>
      <c r="V121" s="297">
        <f t="shared" si="14"/>
        <v>0</v>
      </c>
      <c r="W121" s="297">
        <f t="shared" si="15"/>
        <v>0</v>
      </c>
      <c r="X121" s="297">
        <f t="shared" si="16"/>
        <v>0</v>
      </c>
      <c r="Y121" s="297">
        <f t="shared" si="20"/>
        <v>0</v>
      </c>
    </row>
    <row r="122" spans="1:25" ht="13.5" customHeight="1">
      <c r="A122" s="296">
        <v>118</v>
      </c>
      <c r="B122" s="161"/>
      <c r="C122" s="160"/>
      <c r="D122" s="161"/>
      <c r="E122" s="162"/>
      <c r="F122" s="344"/>
      <c r="G122" s="344"/>
      <c r="H122" s="297">
        <f t="shared" si="0"/>
        <v>0</v>
      </c>
      <c r="I122" s="297">
        <f t="shared" si="1"/>
        <v>0</v>
      </c>
      <c r="J122" s="297">
        <f t="shared" si="2"/>
        <v>0</v>
      </c>
      <c r="K122" s="297">
        <f t="shared" si="3"/>
        <v>0</v>
      </c>
      <c r="L122" s="297">
        <f t="shared" si="4"/>
        <v>0</v>
      </c>
      <c r="M122" s="297">
        <f t="shared" si="5"/>
        <v>0</v>
      </c>
      <c r="N122" s="297">
        <f t="shared" si="6"/>
        <v>0</v>
      </c>
      <c r="O122" s="297">
        <f t="shared" si="7"/>
        <v>0</v>
      </c>
      <c r="P122" s="297">
        <f t="shared" si="8"/>
        <v>0</v>
      </c>
      <c r="Q122" s="297">
        <f t="shared" si="9"/>
        <v>0</v>
      </c>
      <c r="R122" s="297">
        <f t="shared" si="10"/>
        <v>0</v>
      </c>
      <c r="S122" s="297">
        <f t="shared" si="11"/>
        <v>0</v>
      </c>
      <c r="T122" s="297">
        <f t="shared" si="12"/>
        <v>0</v>
      </c>
      <c r="U122" s="297">
        <f t="shared" si="13"/>
        <v>0</v>
      </c>
      <c r="V122" s="297">
        <f t="shared" si="14"/>
        <v>0</v>
      </c>
      <c r="W122" s="297">
        <f t="shared" si="15"/>
        <v>0</v>
      </c>
      <c r="X122" s="297">
        <f t="shared" si="16"/>
        <v>0</v>
      </c>
      <c r="Y122" s="297">
        <f t="shared" si="20"/>
        <v>0</v>
      </c>
    </row>
    <row r="123" spans="1:25" ht="13.5" customHeight="1">
      <c r="A123" s="296">
        <v>119</v>
      </c>
      <c r="B123" s="161"/>
      <c r="C123" s="160"/>
      <c r="D123" s="161"/>
      <c r="E123" s="162"/>
      <c r="F123" s="344"/>
      <c r="G123" s="344"/>
      <c r="H123" s="297">
        <f t="shared" si="0"/>
        <v>0</v>
      </c>
      <c r="I123" s="297">
        <f t="shared" si="1"/>
        <v>0</v>
      </c>
      <c r="J123" s="297">
        <f t="shared" si="2"/>
        <v>0</v>
      </c>
      <c r="K123" s="297">
        <f t="shared" si="3"/>
        <v>0</v>
      </c>
      <c r="L123" s="297">
        <f t="shared" si="4"/>
        <v>0</v>
      </c>
      <c r="M123" s="297">
        <f t="shared" si="5"/>
        <v>0</v>
      </c>
      <c r="N123" s="297">
        <f t="shared" si="6"/>
        <v>0</v>
      </c>
      <c r="O123" s="297">
        <f t="shared" si="7"/>
        <v>0</v>
      </c>
      <c r="P123" s="297">
        <f t="shared" si="8"/>
        <v>0</v>
      </c>
      <c r="Q123" s="297">
        <f t="shared" si="9"/>
        <v>0</v>
      </c>
      <c r="R123" s="297">
        <f t="shared" si="10"/>
        <v>0</v>
      </c>
      <c r="S123" s="297">
        <f t="shared" si="11"/>
        <v>0</v>
      </c>
      <c r="T123" s="297">
        <f t="shared" si="12"/>
        <v>0</v>
      </c>
      <c r="U123" s="297">
        <f t="shared" si="13"/>
        <v>0</v>
      </c>
      <c r="V123" s="297">
        <f t="shared" si="14"/>
        <v>0</v>
      </c>
      <c r="W123" s="297">
        <f t="shared" si="15"/>
        <v>0</v>
      </c>
      <c r="X123" s="297">
        <f t="shared" si="16"/>
        <v>0</v>
      </c>
      <c r="Y123" s="297">
        <f t="shared" si="20"/>
        <v>0</v>
      </c>
    </row>
    <row r="124" spans="1:25" ht="13.5" customHeight="1">
      <c r="A124" s="296">
        <v>120</v>
      </c>
      <c r="B124" s="161"/>
      <c r="C124" s="160"/>
      <c r="D124" s="161"/>
      <c r="E124" s="162"/>
      <c r="F124" s="344"/>
      <c r="G124" s="344"/>
      <c r="H124" s="297">
        <f t="shared" si="0"/>
        <v>0</v>
      </c>
      <c r="I124" s="297">
        <f t="shared" si="1"/>
        <v>0</v>
      </c>
      <c r="J124" s="297">
        <f t="shared" si="2"/>
        <v>0</v>
      </c>
      <c r="K124" s="297">
        <f t="shared" si="3"/>
        <v>0</v>
      </c>
      <c r="L124" s="297">
        <f t="shared" si="4"/>
        <v>0</v>
      </c>
      <c r="M124" s="297">
        <f t="shared" si="5"/>
        <v>0</v>
      </c>
      <c r="N124" s="297">
        <f t="shared" si="6"/>
        <v>0</v>
      </c>
      <c r="O124" s="297">
        <f t="shared" si="7"/>
        <v>0</v>
      </c>
      <c r="P124" s="297">
        <f t="shared" si="8"/>
        <v>0</v>
      </c>
      <c r="Q124" s="297">
        <f t="shared" si="9"/>
        <v>0</v>
      </c>
      <c r="R124" s="297">
        <f t="shared" si="10"/>
        <v>0</v>
      </c>
      <c r="S124" s="297">
        <f t="shared" si="11"/>
        <v>0</v>
      </c>
      <c r="T124" s="297">
        <f t="shared" si="12"/>
        <v>0</v>
      </c>
      <c r="U124" s="297">
        <f t="shared" si="13"/>
        <v>0</v>
      </c>
      <c r="V124" s="297">
        <f t="shared" si="14"/>
        <v>0</v>
      </c>
      <c r="W124" s="297">
        <f t="shared" si="15"/>
        <v>0</v>
      </c>
      <c r="X124" s="297">
        <f t="shared" si="16"/>
        <v>0</v>
      </c>
      <c r="Y124" s="297">
        <f t="shared" si="20"/>
        <v>0</v>
      </c>
    </row>
    <row r="125" spans="1:25" ht="13.5" customHeight="1">
      <c r="A125" s="298" t="s">
        <v>230</v>
      </c>
      <c r="B125" s="299"/>
      <c r="C125" s="299"/>
      <c r="D125" s="299"/>
      <c r="E125" s="300"/>
      <c r="F125" s="298">
        <f>IF(SUM(F5:F124)=0,"",SUM(F5:F124))</f>
      </c>
      <c r="G125" s="298">
        <f>IF(SUM(G5:G124)=0,"",SUM(G5:G124))</f>
      </c>
      <c r="H125" s="297">
        <f>SUM(H5:H124)</f>
        <v>0</v>
      </c>
      <c r="I125" s="297">
        <f aca="true" t="shared" si="21" ref="I125:Y125">SUM(I5:I124)</f>
        <v>0</v>
      </c>
      <c r="J125" s="297">
        <f t="shared" si="21"/>
        <v>0</v>
      </c>
      <c r="K125" s="297">
        <f t="shared" si="21"/>
        <v>0</v>
      </c>
      <c r="L125" s="297">
        <f t="shared" si="21"/>
        <v>0</v>
      </c>
      <c r="M125" s="297">
        <f t="shared" si="21"/>
        <v>0</v>
      </c>
      <c r="N125" s="297">
        <f t="shared" si="21"/>
        <v>0</v>
      </c>
      <c r="O125" s="297">
        <f t="shared" si="21"/>
        <v>0</v>
      </c>
      <c r="P125" s="297">
        <f t="shared" si="21"/>
        <v>0</v>
      </c>
      <c r="Q125" s="297">
        <f t="shared" si="21"/>
        <v>0</v>
      </c>
      <c r="R125" s="297">
        <f t="shared" si="21"/>
        <v>0</v>
      </c>
      <c r="S125" s="297">
        <f t="shared" si="21"/>
        <v>0</v>
      </c>
      <c r="T125" s="297">
        <f t="shared" si="21"/>
        <v>0</v>
      </c>
      <c r="U125" s="297">
        <f t="shared" si="21"/>
        <v>0</v>
      </c>
      <c r="V125" s="297">
        <f t="shared" si="21"/>
        <v>0</v>
      </c>
      <c r="W125" s="297">
        <f t="shared" si="21"/>
        <v>0</v>
      </c>
      <c r="X125" s="297">
        <f t="shared" si="21"/>
        <v>0</v>
      </c>
      <c r="Y125" s="297">
        <f t="shared" si="21"/>
        <v>0</v>
      </c>
    </row>
  </sheetData>
  <sheetProtection/>
  <mergeCells count="13">
    <mergeCell ref="A2:A4"/>
    <mergeCell ref="B2:B4"/>
    <mergeCell ref="C2:D3"/>
    <mergeCell ref="E2:E4"/>
    <mergeCell ref="F2:F4"/>
    <mergeCell ref="G2:G4"/>
    <mergeCell ref="H2:Y2"/>
    <mergeCell ref="T3:W3"/>
    <mergeCell ref="X3:X4"/>
    <mergeCell ref="Y3:Y4"/>
    <mergeCell ref="P3:S3"/>
    <mergeCell ref="H3:K3"/>
    <mergeCell ref="L3:O3"/>
  </mergeCells>
  <dataValidations count="3">
    <dataValidation type="list" allowBlank="1" showInputMessage="1" showErrorMessage="1" sqref="C5:C124">
      <formula1>$AA$3:$AA$23</formula1>
    </dataValidation>
    <dataValidation allowBlank="1" showInputMessage="1" showErrorMessage="1" imeMode="halfAlpha" sqref="F125:G125"/>
    <dataValidation type="whole" operator="greaterThanOrEqual" allowBlank="1" showInputMessage="1" showErrorMessage="1" imeMode="halfAlpha" sqref="F5:G124">
      <formula1>0</formula1>
    </dataValidation>
  </dataValidations>
  <printOptions/>
  <pageMargins left="0.7874015748031497" right="0.7874015748031497" top="0.7874015748031497" bottom="0.7874015748031497" header="0.5118110236220472" footer="0.35433070866141736"/>
  <pageSetup fitToHeight="3" fitToWidth="1" horizontalDpi="300" verticalDpi="300" orientation="landscape" paperSize="9" scale="74" r:id="rId1"/>
  <headerFooter alignWithMargins="0">
    <oddHeader>&amp;R様式３</oddHeader>
  </headerFooter>
</worksheet>
</file>

<file path=xl/worksheets/sheet5.xml><?xml version="1.0" encoding="utf-8"?>
<worksheet xmlns="http://schemas.openxmlformats.org/spreadsheetml/2006/main" xmlns:r="http://schemas.openxmlformats.org/officeDocument/2006/relationships">
  <dimension ref="A1:Q303"/>
  <sheetViews>
    <sheetView workbookViewId="0" topLeftCell="A1">
      <pane ySplit="3" topLeftCell="BM11" activePane="bottomLeft" state="frozen"/>
      <selection pane="topLeft" activeCell="A1" sqref="A1"/>
      <selection pane="bottomLeft" activeCell="H11" sqref="H11"/>
    </sheetView>
  </sheetViews>
  <sheetFormatPr defaultColWidth="9.00390625" defaultRowHeight="13.5"/>
  <cols>
    <col min="1" max="2" width="4.125" style="0" customWidth="1"/>
    <col min="3" max="3" width="5.625" style="0" customWidth="1"/>
    <col min="4" max="4" width="18.25390625" style="0" customWidth="1"/>
    <col min="5" max="5" width="11.25390625" style="0" customWidth="1"/>
    <col min="6" max="6" width="3.00390625" style="0" customWidth="1"/>
    <col min="7" max="7" width="5.50390625" style="0" customWidth="1"/>
    <col min="8" max="8" width="19.375" style="0" customWidth="1"/>
    <col min="9" max="9" width="13.875" style="0" customWidth="1"/>
    <col min="10" max="10" width="4.50390625" style="0" customWidth="1"/>
    <col min="11" max="12" width="3.75390625" style="0" customWidth="1"/>
    <col min="13" max="13" width="6.375" style="0" customWidth="1"/>
    <col min="14" max="14" width="6.25390625" style="0" customWidth="1"/>
    <col min="15" max="15" width="7.50390625" style="0" customWidth="1"/>
    <col min="16" max="17" width="6.875" style="0" customWidth="1"/>
  </cols>
  <sheetData>
    <row r="1" spans="1:6" ht="13.5">
      <c r="A1" s="112" t="str">
        <f>"３．自動車排出窒素酸化物及び自動車排出粒子状物質の排出量（"&amp;LOOKUP('自動車台帳'!$F$1,実績報告年度,'自動車台帳'!$M$336:$M$339)&amp;"）"</f>
        <v>３．自動車排出窒素酸化物及び自動車排出粒子状物質の排出量（平成14年度）</v>
      </c>
      <c r="B1" s="112"/>
      <c r="C1" s="112"/>
      <c r="D1" s="130"/>
      <c r="E1" s="112"/>
      <c r="F1" s="112"/>
    </row>
    <row r="2" spans="1:17" ht="24" customHeight="1">
      <c r="A2" s="384" t="s">
        <v>268</v>
      </c>
      <c r="B2" s="367" t="s">
        <v>269</v>
      </c>
      <c r="C2" s="349" t="s">
        <v>270</v>
      </c>
      <c r="D2" s="373" t="s">
        <v>271</v>
      </c>
      <c r="E2" s="374" t="s">
        <v>272</v>
      </c>
      <c r="F2" s="375"/>
      <c r="G2" s="373" t="s">
        <v>273</v>
      </c>
      <c r="H2" s="373" t="s">
        <v>274</v>
      </c>
      <c r="I2" s="371" t="s">
        <v>275</v>
      </c>
      <c r="J2" s="372"/>
      <c r="K2" s="355" t="s">
        <v>276</v>
      </c>
      <c r="L2" s="353" t="s">
        <v>321</v>
      </c>
      <c r="M2" s="351" t="s">
        <v>277</v>
      </c>
      <c r="N2" s="352"/>
      <c r="O2" s="386" t="s">
        <v>310</v>
      </c>
      <c r="P2" s="351" t="s">
        <v>0</v>
      </c>
      <c r="Q2" s="352"/>
    </row>
    <row r="3" spans="1:17" ht="24" customHeight="1">
      <c r="A3" s="385"/>
      <c r="B3" s="354"/>
      <c r="C3" s="354"/>
      <c r="D3" s="354"/>
      <c r="E3" s="115"/>
      <c r="F3" s="116" t="s">
        <v>137</v>
      </c>
      <c r="G3" s="354"/>
      <c r="H3" s="354"/>
      <c r="I3" s="117" t="s">
        <v>202</v>
      </c>
      <c r="J3" s="118" t="s">
        <v>218</v>
      </c>
      <c r="K3" s="356"/>
      <c r="L3" s="354"/>
      <c r="M3" s="119" t="s">
        <v>203</v>
      </c>
      <c r="N3" s="119" t="s">
        <v>204</v>
      </c>
      <c r="O3" s="387"/>
      <c r="P3" s="119" t="s">
        <v>1</v>
      </c>
      <c r="Q3" s="119" t="s">
        <v>2</v>
      </c>
    </row>
    <row r="4" spans="1:17" ht="13.5">
      <c r="A4" s="148" t="e">
        <f ca="1">OFFSET('自動車台帳'!C5,'自動車台帳'!$AP5,0)</f>
        <v>#N/A</v>
      </c>
      <c r="B4" s="148" t="e">
        <f ca="1">OFFSET('自動車台帳'!D5,'自動車台帳'!$AP5,0)</f>
        <v>#N/A</v>
      </c>
      <c r="C4" s="148" t="e">
        <f ca="1">OFFSET('自動車台帳'!E5,'自動車台帳'!$AP5,0)</f>
        <v>#N/A</v>
      </c>
      <c r="D4" s="148" t="e">
        <f ca="1">OFFSET('自動車台帳'!F5,'自動車台帳'!$AP5,0)</f>
        <v>#N/A</v>
      </c>
      <c r="E4" s="149" t="e">
        <f ca="1">OFFSET('自動車台帳'!G5,'自動車台帳'!$AP5,0)</f>
        <v>#N/A</v>
      </c>
      <c r="F4" s="150" t="e">
        <f ca="1">OFFSET('自動車台帳'!H5,'自動車台帳'!$AP5,0)</f>
        <v>#N/A</v>
      </c>
      <c r="G4" s="148" t="e">
        <f ca="1">OFFSET('自動車台帳'!I5,'自動車台帳'!$AP5,0)</f>
        <v>#N/A</v>
      </c>
      <c r="H4" s="148" t="e">
        <f ca="1">OFFSET('自動車台帳'!J5,'自動車台帳'!$AP5,0)</f>
        <v>#N/A</v>
      </c>
      <c r="I4" s="149" t="e">
        <f ca="1">OFFSET('自動車台帳'!K5,'自動車台帳'!$AP5,0)</f>
        <v>#N/A</v>
      </c>
      <c r="J4" s="151" t="e">
        <f ca="1">OFFSET('自動車台帳'!L5,'自動車台帳'!$AP5,0)</f>
        <v>#N/A</v>
      </c>
      <c r="K4" s="152" t="e">
        <f ca="1">OFFSET('自動車台帳'!M5,'自動車台帳'!$AP5,0)</f>
        <v>#N/A</v>
      </c>
      <c r="L4" s="152" t="e">
        <f ca="1">OFFSET('自動車台帳'!N5,'自動車台帳'!$AP5,0)</f>
        <v>#N/A</v>
      </c>
      <c r="M4" s="148" t="e">
        <f ca="1">OFFSET('自動車台帳'!AB5,'自動車台帳'!$AP5,0)</f>
        <v>#N/A</v>
      </c>
      <c r="N4" s="148" t="e">
        <f ca="1">OFFSET('自動車台帳'!AC5,'自動車台帳'!$AP5,0)</f>
        <v>#N/A</v>
      </c>
      <c r="O4" s="153" t="e">
        <f ca="1">OFFSET('自動車台帳'!AD5,'自動車台帳'!$AP5,0)</f>
        <v>#N/A</v>
      </c>
      <c r="P4" s="154" t="e">
        <f ca="1">OFFSET('自動車台帳'!AE5,'自動車台帳'!$AP5,0)</f>
        <v>#N/A</v>
      </c>
      <c r="Q4" s="154" t="e">
        <f ca="1">OFFSET('自動車台帳'!AF5,'自動車台帳'!$AP5,0)</f>
        <v>#N/A</v>
      </c>
    </row>
    <row r="5" spans="1:17" ht="13.5">
      <c r="A5" s="148" t="e">
        <f ca="1">OFFSET('自動車台帳'!C6,'自動車台帳'!$AP6,0)</f>
        <v>#N/A</v>
      </c>
      <c r="B5" s="148" t="e">
        <f ca="1">OFFSET('自動車台帳'!D6,'自動車台帳'!$AP6,0)</f>
        <v>#N/A</v>
      </c>
      <c r="C5" s="148" t="e">
        <f ca="1">OFFSET('自動車台帳'!E6,'自動車台帳'!$AP6,0)</f>
        <v>#N/A</v>
      </c>
      <c r="D5" s="148" t="e">
        <f ca="1">OFFSET('自動車台帳'!F6,'自動車台帳'!$AP6,0)</f>
        <v>#N/A</v>
      </c>
      <c r="E5" s="149" t="e">
        <f ca="1">OFFSET('自動車台帳'!G6,'自動車台帳'!$AP6,0)</f>
        <v>#N/A</v>
      </c>
      <c r="F5" s="150" t="e">
        <f ca="1">OFFSET('自動車台帳'!H6,'自動車台帳'!$AP6,0)</f>
        <v>#N/A</v>
      </c>
      <c r="G5" s="148" t="e">
        <f ca="1">OFFSET('自動車台帳'!I6,'自動車台帳'!$AP6,0)</f>
        <v>#N/A</v>
      </c>
      <c r="H5" s="148" t="e">
        <f ca="1">OFFSET('自動車台帳'!J6,'自動車台帳'!$AP6,0)</f>
        <v>#N/A</v>
      </c>
      <c r="I5" s="149" t="e">
        <f ca="1">OFFSET('自動車台帳'!K6,'自動車台帳'!$AP6,0)</f>
        <v>#N/A</v>
      </c>
      <c r="J5" s="151" t="e">
        <f ca="1">OFFSET('自動車台帳'!L6,'自動車台帳'!$AP6,0)</f>
        <v>#N/A</v>
      </c>
      <c r="K5" s="152" t="e">
        <f ca="1">OFFSET('自動車台帳'!M6,'自動車台帳'!$AP6,0)</f>
        <v>#N/A</v>
      </c>
      <c r="L5" s="152" t="e">
        <f ca="1">OFFSET('自動車台帳'!N6,'自動車台帳'!$AP6,0)</f>
        <v>#N/A</v>
      </c>
      <c r="M5" s="148" t="e">
        <f ca="1">OFFSET('自動車台帳'!AB6,'自動車台帳'!$AP6,0)</f>
        <v>#N/A</v>
      </c>
      <c r="N5" s="148" t="e">
        <f ca="1">OFFSET('自動車台帳'!AC6,'自動車台帳'!$AP6,0)</f>
        <v>#N/A</v>
      </c>
      <c r="O5" s="153" t="e">
        <f ca="1">OFFSET('自動車台帳'!AD6,'自動車台帳'!$AP6,0)</f>
        <v>#N/A</v>
      </c>
      <c r="P5" s="154" t="e">
        <f ca="1">OFFSET('自動車台帳'!AE6,'自動車台帳'!$AP6,0)</f>
        <v>#N/A</v>
      </c>
      <c r="Q5" s="154" t="e">
        <f ca="1">OFFSET('自動車台帳'!AF6,'自動車台帳'!$AP6,0)</f>
        <v>#N/A</v>
      </c>
    </row>
    <row r="6" spans="1:17" ht="13.5">
      <c r="A6" s="148" t="e">
        <f ca="1">OFFSET('自動車台帳'!C7,'自動車台帳'!$AP7,0)</f>
        <v>#N/A</v>
      </c>
      <c r="B6" s="148" t="e">
        <f ca="1">OFFSET('自動車台帳'!D7,'自動車台帳'!$AP7,0)</f>
        <v>#N/A</v>
      </c>
      <c r="C6" s="148" t="e">
        <f ca="1">OFFSET('自動車台帳'!E7,'自動車台帳'!$AP7,0)</f>
        <v>#N/A</v>
      </c>
      <c r="D6" s="148" t="e">
        <f ca="1">OFFSET('自動車台帳'!F7,'自動車台帳'!$AP7,0)</f>
        <v>#N/A</v>
      </c>
      <c r="E6" s="149" t="e">
        <f ca="1">OFFSET('自動車台帳'!G7,'自動車台帳'!$AP7,0)</f>
        <v>#N/A</v>
      </c>
      <c r="F6" s="150" t="e">
        <f ca="1">OFFSET('自動車台帳'!H7,'自動車台帳'!$AP7,0)</f>
        <v>#N/A</v>
      </c>
      <c r="G6" s="148" t="e">
        <f ca="1">OFFSET('自動車台帳'!I7,'自動車台帳'!$AP7,0)</f>
        <v>#N/A</v>
      </c>
      <c r="H6" s="148" t="e">
        <f ca="1">OFFSET('自動車台帳'!J7,'自動車台帳'!$AP7,0)</f>
        <v>#N/A</v>
      </c>
      <c r="I6" s="149" t="e">
        <f ca="1">OFFSET('自動車台帳'!K7,'自動車台帳'!$AP7,0)</f>
        <v>#N/A</v>
      </c>
      <c r="J6" s="151" t="e">
        <f ca="1">OFFSET('自動車台帳'!L7,'自動車台帳'!$AP7,0)</f>
        <v>#N/A</v>
      </c>
      <c r="K6" s="152" t="e">
        <f ca="1">OFFSET('自動車台帳'!M7,'自動車台帳'!$AP7,0)</f>
        <v>#N/A</v>
      </c>
      <c r="L6" s="152" t="e">
        <f ca="1">OFFSET('自動車台帳'!N7,'自動車台帳'!$AP7,0)</f>
        <v>#N/A</v>
      </c>
      <c r="M6" s="148" t="e">
        <f ca="1">OFFSET('自動車台帳'!AB7,'自動車台帳'!$AP7,0)</f>
        <v>#N/A</v>
      </c>
      <c r="N6" s="148" t="e">
        <f ca="1">OFFSET('自動車台帳'!AC7,'自動車台帳'!$AP7,0)</f>
        <v>#N/A</v>
      </c>
      <c r="O6" s="153" t="e">
        <f ca="1">OFFSET('自動車台帳'!AD7,'自動車台帳'!$AP7,0)</f>
        <v>#N/A</v>
      </c>
      <c r="P6" s="154" t="e">
        <f ca="1">OFFSET('自動車台帳'!AE7,'自動車台帳'!$AP7,0)</f>
        <v>#N/A</v>
      </c>
      <c r="Q6" s="154" t="e">
        <f ca="1">OFFSET('自動車台帳'!AF7,'自動車台帳'!$AP7,0)</f>
        <v>#N/A</v>
      </c>
    </row>
    <row r="7" spans="1:17" ht="13.5">
      <c r="A7" s="148" t="e">
        <f ca="1">OFFSET('自動車台帳'!C8,'自動車台帳'!$AP8,0)</f>
        <v>#N/A</v>
      </c>
      <c r="B7" s="148" t="e">
        <f ca="1">OFFSET('自動車台帳'!D8,'自動車台帳'!$AP8,0)</f>
        <v>#N/A</v>
      </c>
      <c r="C7" s="148" t="e">
        <f ca="1">OFFSET('自動車台帳'!E8,'自動車台帳'!$AP8,0)</f>
        <v>#N/A</v>
      </c>
      <c r="D7" s="148" t="e">
        <f ca="1">OFFSET('自動車台帳'!F8,'自動車台帳'!$AP8,0)</f>
        <v>#N/A</v>
      </c>
      <c r="E7" s="149" t="e">
        <f ca="1">OFFSET('自動車台帳'!G8,'自動車台帳'!$AP8,0)</f>
        <v>#N/A</v>
      </c>
      <c r="F7" s="150" t="e">
        <f ca="1">OFFSET('自動車台帳'!H8,'自動車台帳'!$AP8,0)</f>
        <v>#N/A</v>
      </c>
      <c r="G7" s="148" t="e">
        <f ca="1">OFFSET('自動車台帳'!I8,'自動車台帳'!$AP8,0)</f>
        <v>#N/A</v>
      </c>
      <c r="H7" s="148" t="e">
        <f ca="1">OFFSET('自動車台帳'!J8,'自動車台帳'!$AP8,0)</f>
        <v>#N/A</v>
      </c>
      <c r="I7" s="149" t="e">
        <f ca="1">OFFSET('自動車台帳'!K8,'自動車台帳'!$AP8,0)</f>
        <v>#N/A</v>
      </c>
      <c r="J7" s="151" t="e">
        <f ca="1">OFFSET('自動車台帳'!L8,'自動車台帳'!$AP8,0)</f>
        <v>#N/A</v>
      </c>
      <c r="K7" s="152" t="e">
        <f ca="1">OFFSET('自動車台帳'!M8,'自動車台帳'!$AP8,0)</f>
        <v>#N/A</v>
      </c>
      <c r="L7" s="152" t="e">
        <f ca="1">OFFSET('自動車台帳'!N8,'自動車台帳'!$AP8,0)</f>
        <v>#N/A</v>
      </c>
      <c r="M7" s="148" t="e">
        <f ca="1">OFFSET('自動車台帳'!AB8,'自動車台帳'!$AP8,0)</f>
        <v>#N/A</v>
      </c>
      <c r="N7" s="148" t="e">
        <f ca="1">OFFSET('自動車台帳'!AC8,'自動車台帳'!$AP8,0)</f>
        <v>#N/A</v>
      </c>
      <c r="O7" s="153" t="e">
        <f ca="1">OFFSET('自動車台帳'!AD8,'自動車台帳'!$AP8,0)</f>
        <v>#N/A</v>
      </c>
      <c r="P7" s="154" t="e">
        <f ca="1">OFFSET('自動車台帳'!AE8,'自動車台帳'!$AP8,0)</f>
        <v>#N/A</v>
      </c>
      <c r="Q7" s="154" t="e">
        <f ca="1">OFFSET('自動車台帳'!AF8,'自動車台帳'!$AP8,0)</f>
        <v>#N/A</v>
      </c>
    </row>
    <row r="8" spans="1:17" ht="13.5">
      <c r="A8" s="148" t="e">
        <f ca="1">OFFSET('自動車台帳'!C9,'自動車台帳'!$AP9,0)</f>
        <v>#N/A</v>
      </c>
      <c r="B8" s="148" t="e">
        <f ca="1">OFFSET('自動車台帳'!D9,'自動車台帳'!$AP9,0)</f>
        <v>#N/A</v>
      </c>
      <c r="C8" s="148" t="e">
        <f ca="1">OFFSET('自動車台帳'!E9,'自動車台帳'!$AP9,0)</f>
        <v>#N/A</v>
      </c>
      <c r="D8" s="148" t="e">
        <f ca="1">OFFSET('自動車台帳'!F9,'自動車台帳'!$AP9,0)</f>
        <v>#N/A</v>
      </c>
      <c r="E8" s="149" t="e">
        <f ca="1">OFFSET('自動車台帳'!G9,'自動車台帳'!$AP9,0)</f>
        <v>#N/A</v>
      </c>
      <c r="F8" s="150" t="e">
        <f ca="1">OFFSET('自動車台帳'!H9,'自動車台帳'!$AP9,0)</f>
        <v>#N/A</v>
      </c>
      <c r="G8" s="148" t="e">
        <f ca="1">OFFSET('自動車台帳'!I9,'自動車台帳'!$AP9,0)</f>
        <v>#N/A</v>
      </c>
      <c r="H8" s="148" t="e">
        <f ca="1">OFFSET('自動車台帳'!J9,'自動車台帳'!$AP9,0)</f>
        <v>#N/A</v>
      </c>
      <c r="I8" s="149" t="e">
        <f ca="1">OFFSET('自動車台帳'!K9,'自動車台帳'!$AP9,0)</f>
        <v>#N/A</v>
      </c>
      <c r="J8" s="151" t="e">
        <f ca="1">OFFSET('自動車台帳'!L9,'自動車台帳'!$AP9,0)</f>
        <v>#N/A</v>
      </c>
      <c r="K8" s="152" t="e">
        <f ca="1">OFFSET('自動車台帳'!M9,'自動車台帳'!$AP9,0)</f>
        <v>#N/A</v>
      </c>
      <c r="L8" s="152" t="e">
        <f ca="1">OFFSET('自動車台帳'!N9,'自動車台帳'!$AP9,0)</f>
        <v>#N/A</v>
      </c>
      <c r="M8" s="148" t="e">
        <f ca="1">OFFSET('自動車台帳'!AB9,'自動車台帳'!$AP9,0)</f>
        <v>#N/A</v>
      </c>
      <c r="N8" s="148" t="e">
        <f ca="1">OFFSET('自動車台帳'!AC9,'自動車台帳'!$AP9,0)</f>
        <v>#N/A</v>
      </c>
      <c r="O8" s="153" t="e">
        <f ca="1">OFFSET('自動車台帳'!AD9,'自動車台帳'!$AP9,0)</f>
        <v>#N/A</v>
      </c>
      <c r="P8" s="154" t="e">
        <f ca="1">OFFSET('自動車台帳'!AE9,'自動車台帳'!$AP9,0)</f>
        <v>#N/A</v>
      </c>
      <c r="Q8" s="154" t="e">
        <f ca="1">OFFSET('自動車台帳'!AF9,'自動車台帳'!$AP9,0)</f>
        <v>#N/A</v>
      </c>
    </row>
    <row r="9" spans="1:17" ht="13.5">
      <c r="A9" s="148" t="e">
        <f ca="1">OFFSET('自動車台帳'!C10,'自動車台帳'!$AP10,0)</f>
        <v>#N/A</v>
      </c>
      <c r="B9" s="148" t="e">
        <f ca="1">OFFSET('自動車台帳'!D10,'自動車台帳'!$AP10,0)</f>
        <v>#N/A</v>
      </c>
      <c r="C9" s="148" t="e">
        <f ca="1">OFFSET('自動車台帳'!E10,'自動車台帳'!$AP10,0)</f>
        <v>#N/A</v>
      </c>
      <c r="D9" s="148" t="e">
        <f ca="1">OFFSET('自動車台帳'!F10,'自動車台帳'!$AP10,0)</f>
        <v>#N/A</v>
      </c>
      <c r="E9" s="149" t="e">
        <f ca="1">OFFSET('自動車台帳'!G10,'自動車台帳'!$AP10,0)</f>
        <v>#N/A</v>
      </c>
      <c r="F9" s="150" t="e">
        <f ca="1">OFFSET('自動車台帳'!H10,'自動車台帳'!$AP10,0)</f>
        <v>#N/A</v>
      </c>
      <c r="G9" s="148" t="e">
        <f ca="1">OFFSET('自動車台帳'!I10,'自動車台帳'!$AP10,0)</f>
        <v>#N/A</v>
      </c>
      <c r="H9" s="148" t="e">
        <f ca="1">OFFSET('自動車台帳'!J10,'自動車台帳'!$AP10,0)</f>
        <v>#N/A</v>
      </c>
      <c r="I9" s="149" t="e">
        <f ca="1">OFFSET('自動車台帳'!K10,'自動車台帳'!$AP10,0)</f>
        <v>#N/A</v>
      </c>
      <c r="J9" s="151" t="e">
        <f ca="1">OFFSET('自動車台帳'!L10,'自動車台帳'!$AP10,0)</f>
        <v>#N/A</v>
      </c>
      <c r="K9" s="152" t="e">
        <f ca="1">OFFSET('自動車台帳'!M10,'自動車台帳'!$AP10,0)</f>
        <v>#N/A</v>
      </c>
      <c r="L9" s="152" t="e">
        <f ca="1">OFFSET('自動車台帳'!N10,'自動車台帳'!$AP10,0)</f>
        <v>#N/A</v>
      </c>
      <c r="M9" s="148" t="e">
        <f ca="1">OFFSET('自動車台帳'!AB10,'自動車台帳'!$AP10,0)</f>
        <v>#N/A</v>
      </c>
      <c r="N9" s="148" t="e">
        <f ca="1">OFFSET('自動車台帳'!AC10,'自動車台帳'!$AP10,0)</f>
        <v>#N/A</v>
      </c>
      <c r="O9" s="153" t="e">
        <f ca="1">OFFSET('自動車台帳'!AD10,'自動車台帳'!$AP10,0)</f>
        <v>#N/A</v>
      </c>
      <c r="P9" s="154" t="e">
        <f ca="1">OFFSET('自動車台帳'!AE10,'自動車台帳'!$AP10,0)</f>
        <v>#N/A</v>
      </c>
      <c r="Q9" s="154" t="e">
        <f ca="1">OFFSET('自動車台帳'!AF10,'自動車台帳'!$AP10,0)</f>
        <v>#N/A</v>
      </c>
    </row>
    <row r="10" spans="1:17" ht="13.5">
      <c r="A10" s="148" t="e">
        <f ca="1">OFFSET('自動車台帳'!C11,'自動車台帳'!$AP11,0)</f>
        <v>#N/A</v>
      </c>
      <c r="B10" s="148" t="e">
        <f ca="1">OFFSET('自動車台帳'!D11,'自動車台帳'!$AP11,0)</f>
        <v>#N/A</v>
      </c>
      <c r="C10" s="148" t="e">
        <f ca="1">OFFSET('自動車台帳'!E11,'自動車台帳'!$AP11,0)</f>
        <v>#N/A</v>
      </c>
      <c r="D10" s="148" t="e">
        <f ca="1">OFFSET('自動車台帳'!F11,'自動車台帳'!$AP11,0)</f>
        <v>#N/A</v>
      </c>
      <c r="E10" s="149" t="e">
        <f ca="1">OFFSET('自動車台帳'!G11,'自動車台帳'!$AP11,0)</f>
        <v>#N/A</v>
      </c>
      <c r="F10" s="150" t="e">
        <f ca="1">OFFSET('自動車台帳'!H11,'自動車台帳'!$AP11,0)</f>
        <v>#N/A</v>
      </c>
      <c r="G10" s="148" t="e">
        <f ca="1">OFFSET('自動車台帳'!I11,'自動車台帳'!$AP11,0)</f>
        <v>#N/A</v>
      </c>
      <c r="H10" s="148" t="e">
        <f ca="1">OFFSET('自動車台帳'!J11,'自動車台帳'!$AP11,0)</f>
        <v>#N/A</v>
      </c>
      <c r="I10" s="149" t="e">
        <f ca="1">OFFSET('自動車台帳'!K11,'自動車台帳'!$AP11,0)</f>
        <v>#N/A</v>
      </c>
      <c r="J10" s="151" t="e">
        <f ca="1">OFFSET('自動車台帳'!L11,'自動車台帳'!$AP11,0)</f>
        <v>#N/A</v>
      </c>
      <c r="K10" s="152" t="e">
        <f ca="1">OFFSET('自動車台帳'!M11,'自動車台帳'!$AP11,0)</f>
        <v>#N/A</v>
      </c>
      <c r="L10" s="152" t="e">
        <f ca="1">OFFSET('自動車台帳'!N11,'自動車台帳'!$AP11,0)</f>
        <v>#N/A</v>
      </c>
      <c r="M10" s="148" t="e">
        <f ca="1">OFFSET('自動車台帳'!AB11,'自動車台帳'!$AP11,0)</f>
        <v>#N/A</v>
      </c>
      <c r="N10" s="148" t="e">
        <f ca="1">OFFSET('自動車台帳'!AC11,'自動車台帳'!$AP11,0)</f>
        <v>#N/A</v>
      </c>
      <c r="O10" s="153" t="e">
        <f ca="1">OFFSET('自動車台帳'!AD11,'自動車台帳'!$AP11,0)</f>
        <v>#N/A</v>
      </c>
      <c r="P10" s="154" t="e">
        <f ca="1">OFFSET('自動車台帳'!AE11,'自動車台帳'!$AP11,0)</f>
        <v>#N/A</v>
      </c>
      <c r="Q10" s="154" t="e">
        <f ca="1">OFFSET('自動車台帳'!AF11,'自動車台帳'!$AP11,0)</f>
        <v>#N/A</v>
      </c>
    </row>
    <row r="11" spans="1:17" ht="13.5">
      <c r="A11" s="148" t="e">
        <f ca="1">OFFSET('自動車台帳'!C12,'自動車台帳'!$AP12,0)</f>
        <v>#N/A</v>
      </c>
      <c r="B11" s="148" t="e">
        <f ca="1">OFFSET('自動車台帳'!D12,'自動車台帳'!$AP12,0)</f>
        <v>#N/A</v>
      </c>
      <c r="C11" s="148" t="e">
        <f ca="1">OFFSET('自動車台帳'!E12,'自動車台帳'!$AP12,0)</f>
        <v>#N/A</v>
      </c>
      <c r="D11" s="148" t="e">
        <f ca="1">OFFSET('自動車台帳'!F12,'自動車台帳'!$AP12,0)</f>
        <v>#N/A</v>
      </c>
      <c r="E11" s="149" t="e">
        <f ca="1">OFFSET('自動車台帳'!G12,'自動車台帳'!$AP12,0)</f>
        <v>#N/A</v>
      </c>
      <c r="F11" s="150" t="e">
        <f ca="1">OFFSET('自動車台帳'!H12,'自動車台帳'!$AP12,0)</f>
        <v>#N/A</v>
      </c>
      <c r="G11" s="148" t="e">
        <f ca="1">OFFSET('自動車台帳'!I12,'自動車台帳'!$AP12,0)</f>
        <v>#N/A</v>
      </c>
      <c r="H11" s="148" t="e">
        <f ca="1">OFFSET('自動車台帳'!J12,'自動車台帳'!$AP12,0)</f>
        <v>#N/A</v>
      </c>
      <c r="I11" s="149" t="e">
        <f ca="1">OFFSET('自動車台帳'!K12,'自動車台帳'!$AP12,0)</f>
        <v>#N/A</v>
      </c>
      <c r="J11" s="151" t="e">
        <f ca="1">OFFSET('自動車台帳'!L12,'自動車台帳'!$AP12,0)</f>
        <v>#N/A</v>
      </c>
      <c r="K11" s="152" t="e">
        <f ca="1">OFFSET('自動車台帳'!M12,'自動車台帳'!$AP12,0)</f>
        <v>#N/A</v>
      </c>
      <c r="L11" s="152" t="e">
        <f ca="1">OFFSET('自動車台帳'!N12,'自動車台帳'!$AP12,0)</f>
        <v>#N/A</v>
      </c>
      <c r="M11" s="148" t="e">
        <f ca="1">OFFSET('自動車台帳'!AB12,'自動車台帳'!$AP12,0)</f>
        <v>#N/A</v>
      </c>
      <c r="N11" s="148" t="e">
        <f ca="1">OFFSET('自動車台帳'!AC12,'自動車台帳'!$AP12,0)</f>
        <v>#N/A</v>
      </c>
      <c r="O11" s="153" t="e">
        <f ca="1">OFFSET('自動車台帳'!AD12,'自動車台帳'!$AP12,0)</f>
        <v>#N/A</v>
      </c>
      <c r="P11" s="154" t="e">
        <f ca="1">OFFSET('自動車台帳'!AE12,'自動車台帳'!$AP12,0)</f>
        <v>#N/A</v>
      </c>
      <c r="Q11" s="154" t="e">
        <f ca="1">OFFSET('自動車台帳'!AF12,'自動車台帳'!$AP12,0)</f>
        <v>#N/A</v>
      </c>
    </row>
    <row r="12" spans="1:17" ht="13.5">
      <c r="A12" s="148" t="e">
        <f ca="1">OFFSET('自動車台帳'!C13,'自動車台帳'!$AP13,0)</f>
        <v>#N/A</v>
      </c>
      <c r="B12" s="148" t="e">
        <f ca="1">OFFSET('自動車台帳'!D13,'自動車台帳'!$AP13,0)</f>
        <v>#N/A</v>
      </c>
      <c r="C12" s="148" t="e">
        <f ca="1">OFFSET('自動車台帳'!E13,'自動車台帳'!$AP13,0)</f>
        <v>#N/A</v>
      </c>
      <c r="D12" s="148" t="e">
        <f ca="1">OFFSET('自動車台帳'!F13,'自動車台帳'!$AP13,0)</f>
        <v>#N/A</v>
      </c>
      <c r="E12" s="149" t="e">
        <f ca="1">OFFSET('自動車台帳'!G13,'自動車台帳'!$AP13,0)</f>
        <v>#N/A</v>
      </c>
      <c r="F12" s="150" t="e">
        <f ca="1">OFFSET('自動車台帳'!H13,'自動車台帳'!$AP13,0)</f>
        <v>#N/A</v>
      </c>
      <c r="G12" s="148" t="e">
        <f ca="1">OFFSET('自動車台帳'!I13,'自動車台帳'!$AP13,0)</f>
        <v>#N/A</v>
      </c>
      <c r="H12" s="148" t="e">
        <f ca="1">OFFSET('自動車台帳'!J13,'自動車台帳'!$AP13,0)</f>
        <v>#N/A</v>
      </c>
      <c r="I12" s="149" t="e">
        <f ca="1">OFFSET('自動車台帳'!K13,'自動車台帳'!$AP13,0)</f>
        <v>#N/A</v>
      </c>
      <c r="J12" s="151" t="e">
        <f ca="1">OFFSET('自動車台帳'!L13,'自動車台帳'!$AP13,0)</f>
        <v>#N/A</v>
      </c>
      <c r="K12" s="152" t="e">
        <f ca="1">OFFSET('自動車台帳'!M13,'自動車台帳'!$AP13,0)</f>
        <v>#N/A</v>
      </c>
      <c r="L12" s="152" t="e">
        <f ca="1">OFFSET('自動車台帳'!N13,'自動車台帳'!$AP13,0)</f>
        <v>#N/A</v>
      </c>
      <c r="M12" s="148" t="e">
        <f ca="1">OFFSET('自動車台帳'!AB13,'自動車台帳'!$AP13,0)</f>
        <v>#N/A</v>
      </c>
      <c r="N12" s="148" t="e">
        <f ca="1">OFFSET('自動車台帳'!AC13,'自動車台帳'!$AP13,0)</f>
        <v>#N/A</v>
      </c>
      <c r="O12" s="153" t="e">
        <f ca="1">OFFSET('自動車台帳'!AD13,'自動車台帳'!$AP13,0)</f>
        <v>#N/A</v>
      </c>
      <c r="P12" s="154" t="e">
        <f ca="1">OFFSET('自動車台帳'!AE13,'自動車台帳'!$AP13,0)</f>
        <v>#N/A</v>
      </c>
      <c r="Q12" s="154" t="e">
        <f ca="1">OFFSET('自動車台帳'!AF13,'自動車台帳'!$AP13,0)</f>
        <v>#N/A</v>
      </c>
    </row>
    <row r="13" spans="1:17" ht="13.5">
      <c r="A13" s="148" t="e">
        <f ca="1">OFFSET('自動車台帳'!C14,'自動車台帳'!$AP14,0)</f>
        <v>#N/A</v>
      </c>
      <c r="B13" s="148" t="e">
        <f ca="1">OFFSET('自動車台帳'!D14,'自動車台帳'!$AP14,0)</f>
        <v>#N/A</v>
      </c>
      <c r="C13" s="148" t="e">
        <f ca="1">OFFSET('自動車台帳'!E14,'自動車台帳'!$AP14,0)</f>
        <v>#N/A</v>
      </c>
      <c r="D13" s="148" t="e">
        <f ca="1">OFFSET('自動車台帳'!F14,'自動車台帳'!$AP14,0)</f>
        <v>#N/A</v>
      </c>
      <c r="E13" s="149" t="e">
        <f ca="1">OFFSET('自動車台帳'!G14,'自動車台帳'!$AP14,0)</f>
        <v>#N/A</v>
      </c>
      <c r="F13" s="150" t="e">
        <f ca="1">OFFSET('自動車台帳'!H14,'自動車台帳'!$AP14,0)</f>
        <v>#N/A</v>
      </c>
      <c r="G13" s="148" t="e">
        <f ca="1">OFFSET('自動車台帳'!I14,'自動車台帳'!$AP14,0)</f>
        <v>#N/A</v>
      </c>
      <c r="H13" s="148" t="e">
        <f ca="1">OFFSET('自動車台帳'!J14,'自動車台帳'!$AP14,0)</f>
        <v>#N/A</v>
      </c>
      <c r="I13" s="149" t="e">
        <f ca="1">OFFSET('自動車台帳'!K14,'自動車台帳'!$AP14,0)</f>
        <v>#N/A</v>
      </c>
      <c r="J13" s="151" t="e">
        <f ca="1">OFFSET('自動車台帳'!L14,'自動車台帳'!$AP14,0)</f>
        <v>#N/A</v>
      </c>
      <c r="K13" s="152" t="e">
        <f ca="1">OFFSET('自動車台帳'!M14,'自動車台帳'!$AP14,0)</f>
        <v>#N/A</v>
      </c>
      <c r="L13" s="152" t="e">
        <f ca="1">OFFSET('自動車台帳'!N14,'自動車台帳'!$AP14,0)</f>
        <v>#N/A</v>
      </c>
      <c r="M13" s="148" t="e">
        <f ca="1">OFFSET('自動車台帳'!AB14,'自動車台帳'!$AP14,0)</f>
        <v>#N/A</v>
      </c>
      <c r="N13" s="148" t="e">
        <f ca="1">OFFSET('自動車台帳'!AC14,'自動車台帳'!$AP14,0)</f>
        <v>#N/A</v>
      </c>
      <c r="O13" s="153" t="e">
        <f ca="1">OFFSET('自動車台帳'!AD14,'自動車台帳'!$AP14,0)</f>
        <v>#N/A</v>
      </c>
      <c r="P13" s="154" t="e">
        <f ca="1">OFFSET('自動車台帳'!AE14,'自動車台帳'!$AP14,0)</f>
        <v>#N/A</v>
      </c>
      <c r="Q13" s="154" t="e">
        <f ca="1">OFFSET('自動車台帳'!AF14,'自動車台帳'!$AP14,0)</f>
        <v>#N/A</v>
      </c>
    </row>
    <row r="14" spans="1:17" ht="13.5">
      <c r="A14" s="148" t="e">
        <f ca="1">OFFSET('自動車台帳'!C15,'自動車台帳'!$AP15,0)</f>
        <v>#N/A</v>
      </c>
      <c r="B14" s="148" t="e">
        <f ca="1">OFFSET('自動車台帳'!D15,'自動車台帳'!$AP15,0)</f>
        <v>#N/A</v>
      </c>
      <c r="C14" s="148" t="e">
        <f ca="1">OFFSET('自動車台帳'!E15,'自動車台帳'!$AP15,0)</f>
        <v>#N/A</v>
      </c>
      <c r="D14" s="148" t="e">
        <f ca="1">OFFSET('自動車台帳'!F15,'自動車台帳'!$AP15,0)</f>
        <v>#N/A</v>
      </c>
      <c r="E14" s="149" t="e">
        <f ca="1">OFFSET('自動車台帳'!G15,'自動車台帳'!$AP15,0)</f>
        <v>#N/A</v>
      </c>
      <c r="F14" s="150" t="e">
        <f ca="1">OFFSET('自動車台帳'!H15,'自動車台帳'!$AP15,0)</f>
        <v>#N/A</v>
      </c>
      <c r="G14" s="148" t="e">
        <f ca="1">OFFSET('自動車台帳'!I15,'自動車台帳'!$AP15,0)</f>
        <v>#N/A</v>
      </c>
      <c r="H14" s="148" t="e">
        <f ca="1">OFFSET('自動車台帳'!J15,'自動車台帳'!$AP15,0)</f>
        <v>#N/A</v>
      </c>
      <c r="I14" s="149" t="e">
        <f ca="1">OFFSET('自動車台帳'!K15,'自動車台帳'!$AP15,0)</f>
        <v>#N/A</v>
      </c>
      <c r="J14" s="151" t="e">
        <f ca="1">OFFSET('自動車台帳'!L15,'自動車台帳'!$AP15,0)</f>
        <v>#N/A</v>
      </c>
      <c r="K14" s="152" t="e">
        <f ca="1">OFFSET('自動車台帳'!M15,'自動車台帳'!$AP15,0)</f>
        <v>#N/A</v>
      </c>
      <c r="L14" s="152" t="e">
        <f ca="1">OFFSET('自動車台帳'!N15,'自動車台帳'!$AP15,0)</f>
        <v>#N/A</v>
      </c>
      <c r="M14" s="148" t="e">
        <f ca="1">OFFSET('自動車台帳'!AB15,'自動車台帳'!$AP15,0)</f>
        <v>#N/A</v>
      </c>
      <c r="N14" s="148" t="e">
        <f ca="1">OFFSET('自動車台帳'!AC15,'自動車台帳'!$AP15,0)</f>
        <v>#N/A</v>
      </c>
      <c r="O14" s="153" t="e">
        <f ca="1">OFFSET('自動車台帳'!AD15,'自動車台帳'!$AP15,0)</f>
        <v>#N/A</v>
      </c>
      <c r="P14" s="154" t="e">
        <f ca="1">OFFSET('自動車台帳'!AE15,'自動車台帳'!$AP15,0)</f>
        <v>#N/A</v>
      </c>
      <c r="Q14" s="154" t="e">
        <f ca="1">OFFSET('自動車台帳'!AF15,'自動車台帳'!$AP15,0)</f>
        <v>#N/A</v>
      </c>
    </row>
    <row r="15" spans="1:17" ht="13.5">
      <c r="A15" s="148" t="e">
        <f ca="1">OFFSET('自動車台帳'!C16,'自動車台帳'!$AP16,0)</f>
        <v>#N/A</v>
      </c>
      <c r="B15" s="148" t="e">
        <f ca="1">OFFSET('自動車台帳'!D16,'自動車台帳'!$AP16,0)</f>
        <v>#N/A</v>
      </c>
      <c r="C15" s="148" t="e">
        <f ca="1">OFFSET('自動車台帳'!E16,'自動車台帳'!$AP16,0)</f>
        <v>#N/A</v>
      </c>
      <c r="D15" s="148" t="e">
        <f ca="1">OFFSET('自動車台帳'!F16,'自動車台帳'!$AP16,0)</f>
        <v>#N/A</v>
      </c>
      <c r="E15" s="149" t="e">
        <f ca="1">OFFSET('自動車台帳'!G16,'自動車台帳'!$AP16,0)</f>
        <v>#N/A</v>
      </c>
      <c r="F15" s="150" t="e">
        <f ca="1">OFFSET('自動車台帳'!H16,'自動車台帳'!$AP16,0)</f>
        <v>#N/A</v>
      </c>
      <c r="G15" s="148" t="e">
        <f ca="1">OFFSET('自動車台帳'!I16,'自動車台帳'!$AP16,0)</f>
        <v>#N/A</v>
      </c>
      <c r="H15" s="148" t="e">
        <f ca="1">OFFSET('自動車台帳'!J16,'自動車台帳'!$AP16,0)</f>
        <v>#N/A</v>
      </c>
      <c r="I15" s="149" t="e">
        <f ca="1">OFFSET('自動車台帳'!K16,'自動車台帳'!$AP16,0)</f>
        <v>#N/A</v>
      </c>
      <c r="J15" s="151" t="e">
        <f ca="1">OFFSET('自動車台帳'!L16,'自動車台帳'!$AP16,0)</f>
        <v>#N/A</v>
      </c>
      <c r="K15" s="152" t="e">
        <f ca="1">OFFSET('自動車台帳'!M16,'自動車台帳'!$AP16,0)</f>
        <v>#N/A</v>
      </c>
      <c r="L15" s="152" t="e">
        <f ca="1">OFFSET('自動車台帳'!N16,'自動車台帳'!$AP16,0)</f>
        <v>#N/A</v>
      </c>
      <c r="M15" s="148" t="e">
        <f ca="1">OFFSET('自動車台帳'!AB16,'自動車台帳'!$AP16,0)</f>
        <v>#N/A</v>
      </c>
      <c r="N15" s="148" t="e">
        <f ca="1">OFFSET('自動車台帳'!AC16,'自動車台帳'!$AP16,0)</f>
        <v>#N/A</v>
      </c>
      <c r="O15" s="153" t="e">
        <f ca="1">OFFSET('自動車台帳'!AD16,'自動車台帳'!$AP16,0)</f>
        <v>#N/A</v>
      </c>
      <c r="P15" s="154" t="e">
        <f ca="1">OFFSET('自動車台帳'!AE16,'自動車台帳'!$AP16,0)</f>
        <v>#N/A</v>
      </c>
      <c r="Q15" s="154" t="e">
        <f ca="1">OFFSET('自動車台帳'!AF16,'自動車台帳'!$AP16,0)</f>
        <v>#N/A</v>
      </c>
    </row>
    <row r="16" spans="1:17" ht="13.5">
      <c r="A16" s="148" t="e">
        <f ca="1">OFFSET('自動車台帳'!C17,'自動車台帳'!$AP17,0)</f>
        <v>#N/A</v>
      </c>
      <c r="B16" s="148" t="e">
        <f ca="1">OFFSET('自動車台帳'!D17,'自動車台帳'!$AP17,0)</f>
        <v>#N/A</v>
      </c>
      <c r="C16" s="148" t="e">
        <f ca="1">OFFSET('自動車台帳'!E17,'自動車台帳'!$AP17,0)</f>
        <v>#N/A</v>
      </c>
      <c r="D16" s="148" t="e">
        <f ca="1">OFFSET('自動車台帳'!F17,'自動車台帳'!$AP17,0)</f>
        <v>#N/A</v>
      </c>
      <c r="E16" s="149" t="e">
        <f ca="1">OFFSET('自動車台帳'!G17,'自動車台帳'!$AP17,0)</f>
        <v>#N/A</v>
      </c>
      <c r="F16" s="150" t="e">
        <f ca="1">OFFSET('自動車台帳'!H17,'自動車台帳'!$AP17,0)</f>
        <v>#N/A</v>
      </c>
      <c r="G16" s="148" t="e">
        <f ca="1">OFFSET('自動車台帳'!I17,'自動車台帳'!$AP17,0)</f>
        <v>#N/A</v>
      </c>
      <c r="H16" s="148" t="e">
        <f ca="1">OFFSET('自動車台帳'!J17,'自動車台帳'!$AP17,0)</f>
        <v>#N/A</v>
      </c>
      <c r="I16" s="149" t="e">
        <f ca="1">OFFSET('自動車台帳'!K17,'自動車台帳'!$AP17,0)</f>
        <v>#N/A</v>
      </c>
      <c r="J16" s="151" t="e">
        <f ca="1">OFFSET('自動車台帳'!L17,'自動車台帳'!$AP17,0)</f>
        <v>#N/A</v>
      </c>
      <c r="K16" s="152" t="e">
        <f ca="1">OFFSET('自動車台帳'!M17,'自動車台帳'!$AP17,0)</f>
        <v>#N/A</v>
      </c>
      <c r="L16" s="152" t="e">
        <f ca="1">OFFSET('自動車台帳'!N17,'自動車台帳'!$AP17,0)</f>
        <v>#N/A</v>
      </c>
      <c r="M16" s="148" t="e">
        <f ca="1">OFFSET('自動車台帳'!AB17,'自動車台帳'!$AP17,0)</f>
        <v>#N/A</v>
      </c>
      <c r="N16" s="148" t="e">
        <f ca="1">OFFSET('自動車台帳'!AC17,'自動車台帳'!$AP17,0)</f>
        <v>#N/A</v>
      </c>
      <c r="O16" s="153" t="e">
        <f ca="1">OFFSET('自動車台帳'!AD17,'自動車台帳'!$AP17,0)</f>
        <v>#N/A</v>
      </c>
      <c r="P16" s="154" t="e">
        <f ca="1">OFFSET('自動車台帳'!AE17,'自動車台帳'!$AP17,0)</f>
        <v>#N/A</v>
      </c>
      <c r="Q16" s="154" t="e">
        <f ca="1">OFFSET('自動車台帳'!AF17,'自動車台帳'!$AP17,0)</f>
        <v>#N/A</v>
      </c>
    </row>
    <row r="17" spans="1:17" ht="13.5">
      <c r="A17" s="148" t="e">
        <f ca="1">OFFSET('自動車台帳'!C18,'自動車台帳'!$AP18,0)</f>
        <v>#N/A</v>
      </c>
      <c r="B17" s="148" t="e">
        <f ca="1">OFFSET('自動車台帳'!D18,'自動車台帳'!$AP18,0)</f>
        <v>#N/A</v>
      </c>
      <c r="C17" s="148" t="e">
        <f ca="1">OFFSET('自動車台帳'!E18,'自動車台帳'!$AP18,0)</f>
        <v>#N/A</v>
      </c>
      <c r="D17" s="148" t="e">
        <f ca="1">OFFSET('自動車台帳'!F18,'自動車台帳'!$AP18,0)</f>
        <v>#N/A</v>
      </c>
      <c r="E17" s="149" t="e">
        <f ca="1">OFFSET('自動車台帳'!G18,'自動車台帳'!$AP18,0)</f>
        <v>#N/A</v>
      </c>
      <c r="F17" s="150" t="e">
        <f ca="1">OFFSET('自動車台帳'!H18,'自動車台帳'!$AP18,0)</f>
        <v>#N/A</v>
      </c>
      <c r="G17" s="148" t="e">
        <f ca="1">OFFSET('自動車台帳'!I18,'自動車台帳'!$AP18,0)</f>
        <v>#N/A</v>
      </c>
      <c r="H17" s="148" t="e">
        <f ca="1">OFFSET('自動車台帳'!J18,'自動車台帳'!$AP18,0)</f>
        <v>#N/A</v>
      </c>
      <c r="I17" s="149" t="e">
        <f ca="1">OFFSET('自動車台帳'!K18,'自動車台帳'!$AP18,0)</f>
        <v>#N/A</v>
      </c>
      <c r="J17" s="151" t="e">
        <f ca="1">OFFSET('自動車台帳'!L18,'自動車台帳'!$AP18,0)</f>
        <v>#N/A</v>
      </c>
      <c r="K17" s="152" t="e">
        <f ca="1">OFFSET('自動車台帳'!M18,'自動車台帳'!$AP18,0)</f>
        <v>#N/A</v>
      </c>
      <c r="L17" s="152" t="e">
        <f ca="1">OFFSET('自動車台帳'!N18,'自動車台帳'!$AP18,0)</f>
        <v>#N/A</v>
      </c>
      <c r="M17" s="148" t="e">
        <f ca="1">OFFSET('自動車台帳'!AB18,'自動車台帳'!$AP18,0)</f>
        <v>#N/A</v>
      </c>
      <c r="N17" s="148" t="e">
        <f ca="1">OFFSET('自動車台帳'!AC18,'自動車台帳'!$AP18,0)</f>
        <v>#N/A</v>
      </c>
      <c r="O17" s="153" t="e">
        <f ca="1">OFFSET('自動車台帳'!AD18,'自動車台帳'!$AP18,0)</f>
        <v>#N/A</v>
      </c>
      <c r="P17" s="154" t="e">
        <f ca="1">OFFSET('自動車台帳'!AE18,'自動車台帳'!$AP18,0)</f>
        <v>#N/A</v>
      </c>
      <c r="Q17" s="154" t="e">
        <f ca="1">OFFSET('自動車台帳'!AF18,'自動車台帳'!$AP18,0)</f>
        <v>#N/A</v>
      </c>
    </row>
    <row r="18" spans="1:17" ht="13.5">
      <c r="A18" s="148" t="e">
        <f ca="1">OFFSET('自動車台帳'!C19,'自動車台帳'!$AP19,0)</f>
        <v>#N/A</v>
      </c>
      <c r="B18" s="148" t="e">
        <f ca="1">OFFSET('自動車台帳'!D19,'自動車台帳'!$AP19,0)</f>
        <v>#N/A</v>
      </c>
      <c r="C18" s="148" t="e">
        <f ca="1">OFFSET('自動車台帳'!E19,'自動車台帳'!$AP19,0)</f>
        <v>#N/A</v>
      </c>
      <c r="D18" s="148" t="e">
        <f ca="1">OFFSET('自動車台帳'!F19,'自動車台帳'!$AP19,0)</f>
        <v>#N/A</v>
      </c>
      <c r="E18" s="149" t="e">
        <f ca="1">OFFSET('自動車台帳'!G19,'自動車台帳'!$AP19,0)</f>
        <v>#N/A</v>
      </c>
      <c r="F18" s="150" t="e">
        <f ca="1">OFFSET('自動車台帳'!H19,'自動車台帳'!$AP19,0)</f>
        <v>#N/A</v>
      </c>
      <c r="G18" s="148" t="e">
        <f ca="1">OFFSET('自動車台帳'!I19,'自動車台帳'!$AP19,0)</f>
        <v>#N/A</v>
      </c>
      <c r="H18" s="148" t="e">
        <f ca="1">OFFSET('自動車台帳'!J19,'自動車台帳'!$AP19,0)</f>
        <v>#N/A</v>
      </c>
      <c r="I18" s="149" t="e">
        <f ca="1">OFFSET('自動車台帳'!K19,'自動車台帳'!$AP19,0)</f>
        <v>#N/A</v>
      </c>
      <c r="J18" s="151" t="e">
        <f ca="1">OFFSET('自動車台帳'!L19,'自動車台帳'!$AP19,0)</f>
        <v>#N/A</v>
      </c>
      <c r="K18" s="152" t="e">
        <f ca="1">OFFSET('自動車台帳'!M19,'自動車台帳'!$AP19,0)</f>
        <v>#N/A</v>
      </c>
      <c r="L18" s="152" t="e">
        <f ca="1">OFFSET('自動車台帳'!N19,'自動車台帳'!$AP19,0)</f>
        <v>#N/A</v>
      </c>
      <c r="M18" s="148" t="e">
        <f ca="1">OFFSET('自動車台帳'!AB19,'自動車台帳'!$AP19,0)</f>
        <v>#N/A</v>
      </c>
      <c r="N18" s="148" t="e">
        <f ca="1">OFFSET('自動車台帳'!AC19,'自動車台帳'!$AP19,0)</f>
        <v>#N/A</v>
      </c>
      <c r="O18" s="153" t="e">
        <f ca="1">OFFSET('自動車台帳'!AD19,'自動車台帳'!$AP19,0)</f>
        <v>#N/A</v>
      </c>
      <c r="P18" s="154" t="e">
        <f ca="1">OFFSET('自動車台帳'!AE19,'自動車台帳'!$AP19,0)</f>
        <v>#N/A</v>
      </c>
      <c r="Q18" s="154" t="e">
        <f ca="1">OFFSET('自動車台帳'!AF19,'自動車台帳'!$AP19,0)</f>
        <v>#N/A</v>
      </c>
    </row>
    <row r="19" spans="1:17" ht="13.5">
      <c r="A19" s="148" t="e">
        <f ca="1">OFFSET('自動車台帳'!C20,'自動車台帳'!$AP20,0)</f>
        <v>#N/A</v>
      </c>
      <c r="B19" s="148" t="e">
        <f ca="1">OFFSET('自動車台帳'!D20,'自動車台帳'!$AP20,0)</f>
        <v>#N/A</v>
      </c>
      <c r="C19" s="148" t="e">
        <f ca="1">OFFSET('自動車台帳'!E20,'自動車台帳'!$AP20,0)</f>
        <v>#N/A</v>
      </c>
      <c r="D19" s="148" t="e">
        <f ca="1">OFFSET('自動車台帳'!F20,'自動車台帳'!$AP20,0)</f>
        <v>#N/A</v>
      </c>
      <c r="E19" s="149" t="e">
        <f ca="1">OFFSET('自動車台帳'!G20,'自動車台帳'!$AP20,0)</f>
        <v>#N/A</v>
      </c>
      <c r="F19" s="150" t="e">
        <f ca="1">OFFSET('自動車台帳'!H20,'自動車台帳'!$AP20,0)</f>
        <v>#N/A</v>
      </c>
      <c r="G19" s="148" t="e">
        <f ca="1">OFFSET('自動車台帳'!I20,'自動車台帳'!$AP20,0)</f>
        <v>#N/A</v>
      </c>
      <c r="H19" s="148" t="e">
        <f ca="1">OFFSET('自動車台帳'!J20,'自動車台帳'!$AP20,0)</f>
        <v>#N/A</v>
      </c>
      <c r="I19" s="149" t="e">
        <f ca="1">OFFSET('自動車台帳'!K20,'自動車台帳'!$AP20,0)</f>
        <v>#N/A</v>
      </c>
      <c r="J19" s="151" t="e">
        <f ca="1">OFFSET('自動車台帳'!L20,'自動車台帳'!$AP20,0)</f>
        <v>#N/A</v>
      </c>
      <c r="K19" s="152" t="e">
        <f ca="1">OFFSET('自動車台帳'!M20,'自動車台帳'!$AP20,0)</f>
        <v>#N/A</v>
      </c>
      <c r="L19" s="152" t="e">
        <f ca="1">OFFSET('自動車台帳'!N20,'自動車台帳'!$AP20,0)</f>
        <v>#N/A</v>
      </c>
      <c r="M19" s="148" t="e">
        <f ca="1">OFFSET('自動車台帳'!AB20,'自動車台帳'!$AP20,0)</f>
        <v>#N/A</v>
      </c>
      <c r="N19" s="148" t="e">
        <f ca="1">OFFSET('自動車台帳'!AC20,'自動車台帳'!$AP20,0)</f>
        <v>#N/A</v>
      </c>
      <c r="O19" s="153" t="e">
        <f ca="1">OFFSET('自動車台帳'!AD20,'自動車台帳'!$AP20,0)</f>
        <v>#N/A</v>
      </c>
      <c r="P19" s="154" t="e">
        <f ca="1">OFFSET('自動車台帳'!AE20,'自動車台帳'!$AP20,0)</f>
        <v>#N/A</v>
      </c>
      <c r="Q19" s="154" t="e">
        <f ca="1">OFFSET('自動車台帳'!AF20,'自動車台帳'!$AP20,0)</f>
        <v>#N/A</v>
      </c>
    </row>
    <row r="20" spans="1:17" ht="13.5">
      <c r="A20" s="148" t="e">
        <f ca="1">OFFSET('自動車台帳'!C21,'自動車台帳'!$AP21,0)</f>
        <v>#N/A</v>
      </c>
      <c r="B20" s="148" t="e">
        <f ca="1">OFFSET('自動車台帳'!D21,'自動車台帳'!$AP21,0)</f>
        <v>#N/A</v>
      </c>
      <c r="C20" s="148" t="e">
        <f ca="1">OFFSET('自動車台帳'!E21,'自動車台帳'!$AP21,0)</f>
        <v>#N/A</v>
      </c>
      <c r="D20" s="148" t="e">
        <f ca="1">OFFSET('自動車台帳'!F21,'自動車台帳'!$AP21,0)</f>
        <v>#N/A</v>
      </c>
      <c r="E20" s="149" t="e">
        <f ca="1">OFFSET('自動車台帳'!G21,'自動車台帳'!$AP21,0)</f>
        <v>#N/A</v>
      </c>
      <c r="F20" s="150" t="e">
        <f ca="1">OFFSET('自動車台帳'!H21,'自動車台帳'!$AP21,0)</f>
        <v>#N/A</v>
      </c>
      <c r="G20" s="148" t="e">
        <f ca="1">OFFSET('自動車台帳'!I21,'自動車台帳'!$AP21,0)</f>
        <v>#N/A</v>
      </c>
      <c r="H20" s="148" t="e">
        <f ca="1">OFFSET('自動車台帳'!J21,'自動車台帳'!$AP21,0)</f>
        <v>#N/A</v>
      </c>
      <c r="I20" s="149" t="e">
        <f ca="1">OFFSET('自動車台帳'!K21,'自動車台帳'!$AP21,0)</f>
        <v>#N/A</v>
      </c>
      <c r="J20" s="151" t="e">
        <f ca="1">OFFSET('自動車台帳'!L21,'自動車台帳'!$AP21,0)</f>
        <v>#N/A</v>
      </c>
      <c r="K20" s="152" t="e">
        <f ca="1">OFFSET('自動車台帳'!M21,'自動車台帳'!$AP21,0)</f>
        <v>#N/A</v>
      </c>
      <c r="L20" s="152" t="e">
        <f ca="1">OFFSET('自動車台帳'!N21,'自動車台帳'!$AP21,0)</f>
        <v>#N/A</v>
      </c>
      <c r="M20" s="148" t="e">
        <f ca="1">OFFSET('自動車台帳'!AB21,'自動車台帳'!$AP21,0)</f>
        <v>#N/A</v>
      </c>
      <c r="N20" s="148" t="e">
        <f ca="1">OFFSET('自動車台帳'!AC21,'自動車台帳'!$AP21,0)</f>
        <v>#N/A</v>
      </c>
      <c r="O20" s="153" t="e">
        <f ca="1">OFFSET('自動車台帳'!AD21,'自動車台帳'!$AP21,0)</f>
        <v>#N/A</v>
      </c>
      <c r="P20" s="154" t="e">
        <f ca="1">OFFSET('自動車台帳'!AE21,'自動車台帳'!$AP21,0)</f>
        <v>#N/A</v>
      </c>
      <c r="Q20" s="154" t="e">
        <f ca="1">OFFSET('自動車台帳'!AF21,'自動車台帳'!$AP21,0)</f>
        <v>#N/A</v>
      </c>
    </row>
    <row r="21" spans="1:17" ht="13.5">
      <c r="A21" s="148" t="e">
        <f ca="1">OFFSET('自動車台帳'!C22,'自動車台帳'!$AP22,0)</f>
        <v>#N/A</v>
      </c>
      <c r="B21" s="148" t="e">
        <f ca="1">OFFSET('自動車台帳'!D22,'自動車台帳'!$AP22,0)</f>
        <v>#N/A</v>
      </c>
      <c r="C21" s="148" t="e">
        <f ca="1">OFFSET('自動車台帳'!E22,'自動車台帳'!$AP22,0)</f>
        <v>#N/A</v>
      </c>
      <c r="D21" s="148" t="e">
        <f ca="1">OFFSET('自動車台帳'!F22,'自動車台帳'!$AP22,0)</f>
        <v>#N/A</v>
      </c>
      <c r="E21" s="149" t="e">
        <f ca="1">OFFSET('自動車台帳'!G22,'自動車台帳'!$AP22,0)</f>
        <v>#N/A</v>
      </c>
      <c r="F21" s="150" t="e">
        <f ca="1">OFFSET('自動車台帳'!H22,'自動車台帳'!$AP22,0)</f>
        <v>#N/A</v>
      </c>
      <c r="G21" s="148" t="e">
        <f ca="1">OFFSET('自動車台帳'!I22,'自動車台帳'!$AP22,0)</f>
        <v>#N/A</v>
      </c>
      <c r="H21" s="148" t="e">
        <f ca="1">OFFSET('自動車台帳'!J22,'自動車台帳'!$AP22,0)</f>
        <v>#N/A</v>
      </c>
      <c r="I21" s="149" t="e">
        <f ca="1">OFFSET('自動車台帳'!K22,'自動車台帳'!$AP22,0)</f>
        <v>#N/A</v>
      </c>
      <c r="J21" s="151" t="e">
        <f ca="1">OFFSET('自動車台帳'!L22,'自動車台帳'!$AP22,0)</f>
        <v>#N/A</v>
      </c>
      <c r="K21" s="152" t="e">
        <f ca="1">OFFSET('自動車台帳'!M22,'自動車台帳'!$AP22,0)</f>
        <v>#N/A</v>
      </c>
      <c r="L21" s="152" t="e">
        <f ca="1">OFFSET('自動車台帳'!N22,'自動車台帳'!$AP22,0)</f>
        <v>#N/A</v>
      </c>
      <c r="M21" s="148" t="e">
        <f ca="1">OFFSET('自動車台帳'!AB22,'自動車台帳'!$AP22,0)</f>
        <v>#N/A</v>
      </c>
      <c r="N21" s="148" t="e">
        <f ca="1">OFFSET('自動車台帳'!AC22,'自動車台帳'!$AP22,0)</f>
        <v>#N/A</v>
      </c>
      <c r="O21" s="153" t="e">
        <f ca="1">OFFSET('自動車台帳'!AD22,'自動車台帳'!$AP22,0)</f>
        <v>#N/A</v>
      </c>
      <c r="P21" s="154" t="e">
        <f ca="1">OFFSET('自動車台帳'!AE22,'自動車台帳'!$AP22,0)</f>
        <v>#N/A</v>
      </c>
      <c r="Q21" s="154" t="e">
        <f ca="1">OFFSET('自動車台帳'!AF22,'自動車台帳'!$AP22,0)</f>
        <v>#N/A</v>
      </c>
    </row>
    <row r="22" spans="1:17" ht="13.5">
      <c r="A22" s="148" t="e">
        <f ca="1">OFFSET('自動車台帳'!C23,'自動車台帳'!$AP23,0)</f>
        <v>#N/A</v>
      </c>
      <c r="B22" s="148" t="e">
        <f ca="1">OFFSET('自動車台帳'!D23,'自動車台帳'!$AP23,0)</f>
        <v>#N/A</v>
      </c>
      <c r="C22" s="148" t="e">
        <f ca="1">OFFSET('自動車台帳'!E23,'自動車台帳'!$AP23,0)</f>
        <v>#N/A</v>
      </c>
      <c r="D22" s="148" t="e">
        <f ca="1">OFFSET('自動車台帳'!F23,'自動車台帳'!$AP23,0)</f>
        <v>#N/A</v>
      </c>
      <c r="E22" s="149" t="e">
        <f ca="1">OFFSET('自動車台帳'!G23,'自動車台帳'!$AP23,0)</f>
        <v>#N/A</v>
      </c>
      <c r="F22" s="150" t="e">
        <f ca="1">OFFSET('自動車台帳'!H23,'自動車台帳'!$AP23,0)</f>
        <v>#N/A</v>
      </c>
      <c r="G22" s="148" t="e">
        <f ca="1">OFFSET('自動車台帳'!I23,'自動車台帳'!$AP23,0)</f>
        <v>#N/A</v>
      </c>
      <c r="H22" s="148" t="e">
        <f ca="1">OFFSET('自動車台帳'!J23,'自動車台帳'!$AP23,0)</f>
        <v>#N/A</v>
      </c>
      <c r="I22" s="149" t="e">
        <f ca="1">OFFSET('自動車台帳'!K23,'自動車台帳'!$AP23,0)</f>
        <v>#N/A</v>
      </c>
      <c r="J22" s="151" t="e">
        <f ca="1">OFFSET('自動車台帳'!L23,'自動車台帳'!$AP23,0)</f>
        <v>#N/A</v>
      </c>
      <c r="K22" s="152" t="e">
        <f ca="1">OFFSET('自動車台帳'!M23,'自動車台帳'!$AP23,0)</f>
        <v>#N/A</v>
      </c>
      <c r="L22" s="152" t="e">
        <f ca="1">OFFSET('自動車台帳'!N23,'自動車台帳'!$AP23,0)</f>
        <v>#N/A</v>
      </c>
      <c r="M22" s="148" t="e">
        <f ca="1">OFFSET('自動車台帳'!AB23,'自動車台帳'!$AP23,0)</f>
        <v>#N/A</v>
      </c>
      <c r="N22" s="148" t="e">
        <f ca="1">OFFSET('自動車台帳'!AC23,'自動車台帳'!$AP23,0)</f>
        <v>#N/A</v>
      </c>
      <c r="O22" s="153" t="e">
        <f ca="1">OFFSET('自動車台帳'!AD23,'自動車台帳'!$AP23,0)</f>
        <v>#N/A</v>
      </c>
      <c r="P22" s="154" t="e">
        <f ca="1">OFFSET('自動車台帳'!AE23,'自動車台帳'!$AP23,0)</f>
        <v>#N/A</v>
      </c>
      <c r="Q22" s="154" t="e">
        <f ca="1">OFFSET('自動車台帳'!AF23,'自動車台帳'!$AP23,0)</f>
        <v>#N/A</v>
      </c>
    </row>
    <row r="23" spans="1:17" ht="13.5">
      <c r="A23" s="148" t="e">
        <f ca="1">OFFSET('自動車台帳'!C24,'自動車台帳'!$AP24,0)</f>
        <v>#N/A</v>
      </c>
      <c r="B23" s="148" t="e">
        <f ca="1">OFFSET('自動車台帳'!D24,'自動車台帳'!$AP24,0)</f>
        <v>#N/A</v>
      </c>
      <c r="C23" s="148" t="e">
        <f ca="1">OFFSET('自動車台帳'!E24,'自動車台帳'!$AP24,0)</f>
        <v>#N/A</v>
      </c>
      <c r="D23" s="148" t="e">
        <f ca="1">OFFSET('自動車台帳'!F24,'自動車台帳'!$AP24,0)</f>
        <v>#N/A</v>
      </c>
      <c r="E23" s="149" t="e">
        <f ca="1">OFFSET('自動車台帳'!G24,'自動車台帳'!$AP24,0)</f>
        <v>#N/A</v>
      </c>
      <c r="F23" s="150" t="e">
        <f ca="1">OFFSET('自動車台帳'!H24,'自動車台帳'!$AP24,0)</f>
        <v>#N/A</v>
      </c>
      <c r="G23" s="148" t="e">
        <f ca="1">OFFSET('自動車台帳'!I24,'自動車台帳'!$AP24,0)</f>
        <v>#N/A</v>
      </c>
      <c r="H23" s="148" t="e">
        <f ca="1">OFFSET('自動車台帳'!J24,'自動車台帳'!$AP24,0)</f>
        <v>#N/A</v>
      </c>
      <c r="I23" s="149" t="e">
        <f ca="1">OFFSET('自動車台帳'!K24,'自動車台帳'!$AP24,0)</f>
        <v>#N/A</v>
      </c>
      <c r="J23" s="151" t="e">
        <f ca="1">OFFSET('自動車台帳'!L24,'自動車台帳'!$AP24,0)</f>
        <v>#N/A</v>
      </c>
      <c r="K23" s="152" t="e">
        <f ca="1">OFFSET('自動車台帳'!M24,'自動車台帳'!$AP24,0)</f>
        <v>#N/A</v>
      </c>
      <c r="L23" s="152" t="e">
        <f ca="1">OFFSET('自動車台帳'!N24,'自動車台帳'!$AP24,0)</f>
        <v>#N/A</v>
      </c>
      <c r="M23" s="148" t="e">
        <f ca="1">OFFSET('自動車台帳'!AB24,'自動車台帳'!$AP24,0)</f>
        <v>#N/A</v>
      </c>
      <c r="N23" s="148" t="e">
        <f ca="1">OFFSET('自動車台帳'!AC24,'自動車台帳'!$AP24,0)</f>
        <v>#N/A</v>
      </c>
      <c r="O23" s="153" t="e">
        <f ca="1">OFFSET('自動車台帳'!AD24,'自動車台帳'!$AP24,0)</f>
        <v>#N/A</v>
      </c>
      <c r="P23" s="154" t="e">
        <f ca="1">OFFSET('自動車台帳'!AE24,'自動車台帳'!$AP24,0)</f>
        <v>#N/A</v>
      </c>
      <c r="Q23" s="154" t="e">
        <f ca="1">OFFSET('自動車台帳'!AF24,'自動車台帳'!$AP24,0)</f>
        <v>#N/A</v>
      </c>
    </row>
    <row r="24" spans="1:17" ht="13.5">
      <c r="A24" s="148" t="e">
        <f ca="1">OFFSET('自動車台帳'!C25,'自動車台帳'!$AP25,0)</f>
        <v>#N/A</v>
      </c>
      <c r="B24" s="148" t="e">
        <f ca="1">OFFSET('自動車台帳'!D25,'自動車台帳'!$AP25,0)</f>
        <v>#N/A</v>
      </c>
      <c r="C24" s="148" t="e">
        <f ca="1">OFFSET('自動車台帳'!E25,'自動車台帳'!$AP25,0)</f>
        <v>#N/A</v>
      </c>
      <c r="D24" s="148" t="e">
        <f ca="1">OFFSET('自動車台帳'!F25,'自動車台帳'!$AP25,0)</f>
        <v>#N/A</v>
      </c>
      <c r="E24" s="149" t="e">
        <f ca="1">OFFSET('自動車台帳'!G25,'自動車台帳'!$AP25,0)</f>
        <v>#N/A</v>
      </c>
      <c r="F24" s="150" t="e">
        <f ca="1">OFFSET('自動車台帳'!H25,'自動車台帳'!$AP25,0)</f>
        <v>#N/A</v>
      </c>
      <c r="G24" s="148" t="e">
        <f ca="1">OFFSET('自動車台帳'!I25,'自動車台帳'!$AP25,0)</f>
        <v>#N/A</v>
      </c>
      <c r="H24" s="148" t="e">
        <f ca="1">OFFSET('自動車台帳'!J25,'自動車台帳'!$AP25,0)</f>
        <v>#N/A</v>
      </c>
      <c r="I24" s="149" t="e">
        <f ca="1">OFFSET('自動車台帳'!K25,'自動車台帳'!$AP25,0)</f>
        <v>#N/A</v>
      </c>
      <c r="J24" s="151" t="e">
        <f ca="1">OFFSET('自動車台帳'!L25,'自動車台帳'!$AP25,0)</f>
        <v>#N/A</v>
      </c>
      <c r="K24" s="152" t="e">
        <f ca="1">OFFSET('自動車台帳'!M25,'自動車台帳'!$AP25,0)</f>
        <v>#N/A</v>
      </c>
      <c r="L24" s="152" t="e">
        <f ca="1">OFFSET('自動車台帳'!N25,'自動車台帳'!$AP25,0)</f>
        <v>#N/A</v>
      </c>
      <c r="M24" s="148" t="e">
        <f ca="1">OFFSET('自動車台帳'!AB25,'自動車台帳'!$AP25,0)</f>
        <v>#N/A</v>
      </c>
      <c r="N24" s="148" t="e">
        <f ca="1">OFFSET('自動車台帳'!AC25,'自動車台帳'!$AP25,0)</f>
        <v>#N/A</v>
      </c>
      <c r="O24" s="153" t="e">
        <f ca="1">OFFSET('自動車台帳'!AD25,'自動車台帳'!$AP25,0)</f>
        <v>#N/A</v>
      </c>
      <c r="P24" s="154" t="e">
        <f ca="1">OFFSET('自動車台帳'!AE25,'自動車台帳'!$AP25,0)</f>
        <v>#N/A</v>
      </c>
      <c r="Q24" s="154" t="e">
        <f ca="1">OFFSET('自動車台帳'!AF25,'自動車台帳'!$AP25,0)</f>
        <v>#N/A</v>
      </c>
    </row>
    <row r="25" spans="1:17" ht="13.5">
      <c r="A25" s="148" t="e">
        <f ca="1">OFFSET('自動車台帳'!C26,'自動車台帳'!$AP26,0)</f>
        <v>#N/A</v>
      </c>
      <c r="B25" s="148" t="e">
        <f ca="1">OFFSET('自動車台帳'!D26,'自動車台帳'!$AP26,0)</f>
        <v>#N/A</v>
      </c>
      <c r="C25" s="148" t="e">
        <f ca="1">OFFSET('自動車台帳'!E26,'自動車台帳'!$AP26,0)</f>
        <v>#N/A</v>
      </c>
      <c r="D25" s="148" t="e">
        <f ca="1">OFFSET('自動車台帳'!F26,'自動車台帳'!$AP26,0)</f>
        <v>#N/A</v>
      </c>
      <c r="E25" s="149" t="e">
        <f ca="1">OFFSET('自動車台帳'!G26,'自動車台帳'!$AP26,0)</f>
        <v>#N/A</v>
      </c>
      <c r="F25" s="150" t="e">
        <f ca="1">OFFSET('自動車台帳'!H26,'自動車台帳'!$AP26,0)</f>
        <v>#N/A</v>
      </c>
      <c r="G25" s="148" t="e">
        <f ca="1">OFFSET('自動車台帳'!I26,'自動車台帳'!$AP26,0)</f>
        <v>#N/A</v>
      </c>
      <c r="H25" s="148" t="e">
        <f ca="1">OFFSET('自動車台帳'!J26,'自動車台帳'!$AP26,0)</f>
        <v>#N/A</v>
      </c>
      <c r="I25" s="149" t="e">
        <f ca="1">OFFSET('自動車台帳'!K26,'自動車台帳'!$AP26,0)</f>
        <v>#N/A</v>
      </c>
      <c r="J25" s="151" t="e">
        <f ca="1">OFFSET('自動車台帳'!L26,'自動車台帳'!$AP26,0)</f>
        <v>#N/A</v>
      </c>
      <c r="K25" s="152" t="e">
        <f ca="1">OFFSET('自動車台帳'!M26,'自動車台帳'!$AP26,0)</f>
        <v>#N/A</v>
      </c>
      <c r="L25" s="152" t="e">
        <f ca="1">OFFSET('自動車台帳'!N26,'自動車台帳'!$AP26,0)</f>
        <v>#N/A</v>
      </c>
      <c r="M25" s="148" t="e">
        <f ca="1">OFFSET('自動車台帳'!AB26,'自動車台帳'!$AP26,0)</f>
        <v>#N/A</v>
      </c>
      <c r="N25" s="148" t="e">
        <f ca="1">OFFSET('自動車台帳'!AC26,'自動車台帳'!$AP26,0)</f>
        <v>#N/A</v>
      </c>
      <c r="O25" s="153" t="e">
        <f ca="1">OFFSET('自動車台帳'!AD26,'自動車台帳'!$AP26,0)</f>
        <v>#N/A</v>
      </c>
      <c r="P25" s="154" t="e">
        <f ca="1">OFFSET('自動車台帳'!AE26,'自動車台帳'!$AP26,0)</f>
        <v>#N/A</v>
      </c>
      <c r="Q25" s="154" t="e">
        <f ca="1">OFFSET('自動車台帳'!AF26,'自動車台帳'!$AP26,0)</f>
        <v>#N/A</v>
      </c>
    </row>
    <row r="26" spans="1:17" ht="13.5">
      <c r="A26" s="148" t="e">
        <f ca="1">OFFSET('自動車台帳'!C27,'自動車台帳'!$AP27,0)</f>
        <v>#N/A</v>
      </c>
      <c r="B26" s="148" t="e">
        <f ca="1">OFFSET('自動車台帳'!D27,'自動車台帳'!$AP27,0)</f>
        <v>#N/A</v>
      </c>
      <c r="C26" s="148" t="e">
        <f ca="1">OFFSET('自動車台帳'!E27,'自動車台帳'!$AP27,0)</f>
        <v>#N/A</v>
      </c>
      <c r="D26" s="148" t="e">
        <f ca="1">OFFSET('自動車台帳'!F27,'自動車台帳'!$AP27,0)</f>
        <v>#N/A</v>
      </c>
      <c r="E26" s="149" t="e">
        <f ca="1">OFFSET('自動車台帳'!G27,'自動車台帳'!$AP27,0)</f>
        <v>#N/A</v>
      </c>
      <c r="F26" s="150" t="e">
        <f ca="1">OFFSET('自動車台帳'!H27,'自動車台帳'!$AP27,0)</f>
        <v>#N/A</v>
      </c>
      <c r="G26" s="148" t="e">
        <f ca="1">OFFSET('自動車台帳'!I27,'自動車台帳'!$AP27,0)</f>
        <v>#N/A</v>
      </c>
      <c r="H26" s="148" t="e">
        <f ca="1">OFFSET('自動車台帳'!J27,'自動車台帳'!$AP27,0)</f>
        <v>#N/A</v>
      </c>
      <c r="I26" s="149" t="e">
        <f ca="1">OFFSET('自動車台帳'!K27,'自動車台帳'!$AP27,0)</f>
        <v>#N/A</v>
      </c>
      <c r="J26" s="151" t="e">
        <f ca="1">OFFSET('自動車台帳'!L27,'自動車台帳'!$AP27,0)</f>
        <v>#N/A</v>
      </c>
      <c r="K26" s="152" t="e">
        <f ca="1">OFFSET('自動車台帳'!M27,'自動車台帳'!$AP27,0)</f>
        <v>#N/A</v>
      </c>
      <c r="L26" s="152" t="e">
        <f ca="1">OFFSET('自動車台帳'!N27,'自動車台帳'!$AP27,0)</f>
        <v>#N/A</v>
      </c>
      <c r="M26" s="148" t="e">
        <f ca="1">OFFSET('自動車台帳'!AB27,'自動車台帳'!$AP27,0)</f>
        <v>#N/A</v>
      </c>
      <c r="N26" s="148" t="e">
        <f ca="1">OFFSET('自動車台帳'!AC27,'自動車台帳'!$AP27,0)</f>
        <v>#N/A</v>
      </c>
      <c r="O26" s="153" t="e">
        <f ca="1">OFFSET('自動車台帳'!AD27,'自動車台帳'!$AP27,0)</f>
        <v>#N/A</v>
      </c>
      <c r="P26" s="154" t="e">
        <f ca="1">OFFSET('自動車台帳'!AE27,'自動車台帳'!$AP27,0)</f>
        <v>#N/A</v>
      </c>
      <c r="Q26" s="154" t="e">
        <f ca="1">OFFSET('自動車台帳'!AF27,'自動車台帳'!$AP27,0)</f>
        <v>#N/A</v>
      </c>
    </row>
    <row r="27" spans="1:17" ht="13.5">
      <c r="A27" s="148" t="e">
        <f ca="1">OFFSET('自動車台帳'!C28,'自動車台帳'!$AP28,0)</f>
        <v>#N/A</v>
      </c>
      <c r="B27" s="148" t="e">
        <f ca="1">OFFSET('自動車台帳'!D28,'自動車台帳'!$AP28,0)</f>
        <v>#N/A</v>
      </c>
      <c r="C27" s="148" t="e">
        <f ca="1">OFFSET('自動車台帳'!E28,'自動車台帳'!$AP28,0)</f>
        <v>#N/A</v>
      </c>
      <c r="D27" s="148" t="e">
        <f ca="1">OFFSET('自動車台帳'!F28,'自動車台帳'!$AP28,0)</f>
        <v>#N/A</v>
      </c>
      <c r="E27" s="149" t="e">
        <f ca="1">OFFSET('自動車台帳'!G28,'自動車台帳'!$AP28,0)</f>
        <v>#N/A</v>
      </c>
      <c r="F27" s="150" t="e">
        <f ca="1">OFFSET('自動車台帳'!H28,'自動車台帳'!$AP28,0)</f>
        <v>#N/A</v>
      </c>
      <c r="G27" s="148" t="e">
        <f ca="1">OFFSET('自動車台帳'!I28,'自動車台帳'!$AP28,0)</f>
        <v>#N/A</v>
      </c>
      <c r="H27" s="148" t="e">
        <f ca="1">OFFSET('自動車台帳'!J28,'自動車台帳'!$AP28,0)</f>
        <v>#N/A</v>
      </c>
      <c r="I27" s="149" t="e">
        <f ca="1">OFFSET('自動車台帳'!K28,'自動車台帳'!$AP28,0)</f>
        <v>#N/A</v>
      </c>
      <c r="J27" s="151" t="e">
        <f ca="1">OFFSET('自動車台帳'!L28,'自動車台帳'!$AP28,0)</f>
        <v>#N/A</v>
      </c>
      <c r="K27" s="152" t="e">
        <f ca="1">OFFSET('自動車台帳'!M28,'自動車台帳'!$AP28,0)</f>
        <v>#N/A</v>
      </c>
      <c r="L27" s="152" t="e">
        <f ca="1">OFFSET('自動車台帳'!N28,'自動車台帳'!$AP28,0)</f>
        <v>#N/A</v>
      </c>
      <c r="M27" s="148" t="e">
        <f ca="1">OFFSET('自動車台帳'!AB28,'自動車台帳'!$AP28,0)</f>
        <v>#N/A</v>
      </c>
      <c r="N27" s="148" t="e">
        <f ca="1">OFFSET('自動車台帳'!AC28,'自動車台帳'!$AP28,0)</f>
        <v>#N/A</v>
      </c>
      <c r="O27" s="153" t="e">
        <f ca="1">OFFSET('自動車台帳'!AD28,'自動車台帳'!$AP28,0)</f>
        <v>#N/A</v>
      </c>
      <c r="P27" s="154" t="e">
        <f ca="1">OFFSET('自動車台帳'!AE28,'自動車台帳'!$AP28,0)</f>
        <v>#N/A</v>
      </c>
      <c r="Q27" s="154" t="e">
        <f ca="1">OFFSET('自動車台帳'!AF28,'自動車台帳'!$AP28,0)</f>
        <v>#N/A</v>
      </c>
    </row>
    <row r="28" spans="1:17" ht="13.5">
      <c r="A28" s="148" t="e">
        <f ca="1">OFFSET('自動車台帳'!C29,'自動車台帳'!$AP29,0)</f>
        <v>#N/A</v>
      </c>
      <c r="B28" s="148" t="e">
        <f ca="1">OFFSET('自動車台帳'!D29,'自動車台帳'!$AP29,0)</f>
        <v>#N/A</v>
      </c>
      <c r="C28" s="148" t="e">
        <f ca="1">OFFSET('自動車台帳'!E29,'自動車台帳'!$AP29,0)</f>
        <v>#N/A</v>
      </c>
      <c r="D28" s="148" t="e">
        <f ca="1">OFFSET('自動車台帳'!F29,'自動車台帳'!$AP29,0)</f>
        <v>#N/A</v>
      </c>
      <c r="E28" s="149" t="e">
        <f ca="1">OFFSET('自動車台帳'!G29,'自動車台帳'!$AP29,0)</f>
        <v>#N/A</v>
      </c>
      <c r="F28" s="150" t="e">
        <f ca="1">OFFSET('自動車台帳'!H29,'自動車台帳'!$AP29,0)</f>
        <v>#N/A</v>
      </c>
      <c r="G28" s="148" t="e">
        <f ca="1">OFFSET('自動車台帳'!I29,'自動車台帳'!$AP29,0)</f>
        <v>#N/A</v>
      </c>
      <c r="H28" s="148" t="e">
        <f ca="1">OFFSET('自動車台帳'!J29,'自動車台帳'!$AP29,0)</f>
        <v>#N/A</v>
      </c>
      <c r="I28" s="149" t="e">
        <f ca="1">OFFSET('自動車台帳'!K29,'自動車台帳'!$AP29,0)</f>
        <v>#N/A</v>
      </c>
      <c r="J28" s="151" t="e">
        <f ca="1">OFFSET('自動車台帳'!L29,'自動車台帳'!$AP29,0)</f>
        <v>#N/A</v>
      </c>
      <c r="K28" s="152" t="e">
        <f ca="1">OFFSET('自動車台帳'!M29,'自動車台帳'!$AP29,0)</f>
        <v>#N/A</v>
      </c>
      <c r="L28" s="152" t="e">
        <f ca="1">OFFSET('自動車台帳'!N29,'自動車台帳'!$AP29,0)</f>
        <v>#N/A</v>
      </c>
      <c r="M28" s="148" t="e">
        <f ca="1">OFFSET('自動車台帳'!AB29,'自動車台帳'!$AP29,0)</f>
        <v>#N/A</v>
      </c>
      <c r="N28" s="148" t="e">
        <f ca="1">OFFSET('自動車台帳'!AC29,'自動車台帳'!$AP29,0)</f>
        <v>#N/A</v>
      </c>
      <c r="O28" s="153" t="e">
        <f ca="1">OFFSET('自動車台帳'!AD29,'自動車台帳'!$AP29,0)</f>
        <v>#N/A</v>
      </c>
      <c r="P28" s="154" t="e">
        <f ca="1">OFFSET('自動車台帳'!AE29,'自動車台帳'!$AP29,0)</f>
        <v>#N/A</v>
      </c>
      <c r="Q28" s="154" t="e">
        <f ca="1">OFFSET('自動車台帳'!AF29,'自動車台帳'!$AP29,0)</f>
        <v>#N/A</v>
      </c>
    </row>
    <row r="29" spans="1:17" ht="13.5">
      <c r="A29" s="148" t="e">
        <f ca="1">OFFSET('自動車台帳'!C30,'自動車台帳'!$AP30,0)</f>
        <v>#N/A</v>
      </c>
      <c r="B29" s="148" t="e">
        <f ca="1">OFFSET('自動車台帳'!D30,'自動車台帳'!$AP30,0)</f>
        <v>#N/A</v>
      </c>
      <c r="C29" s="148" t="e">
        <f ca="1">OFFSET('自動車台帳'!E30,'自動車台帳'!$AP30,0)</f>
        <v>#N/A</v>
      </c>
      <c r="D29" s="148" t="e">
        <f ca="1">OFFSET('自動車台帳'!F30,'自動車台帳'!$AP30,0)</f>
        <v>#N/A</v>
      </c>
      <c r="E29" s="149" t="e">
        <f ca="1">OFFSET('自動車台帳'!G30,'自動車台帳'!$AP30,0)</f>
        <v>#N/A</v>
      </c>
      <c r="F29" s="150" t="e">
        <f ca="1">OFFSET('自動車台帳'!H30,'自動車台帳'!$AP30,0)</f>
        <v>#N/A</v>
      </c>
      <c r="G29" s="148" t="e">
        <f ca="1">OFFSET('自動車台帳'!I30,'自動車台帳'!$AP30,0)</f>
        <v>#N/A</v>
      </c>
      <c r="H29" s="148" t="e">
        <f ca="1">OFFSET('自動車台帳'!J30,'自動車台帳'!$AP30,0)</f>
        <v>#N/A</v>
      </c>
      <c r="I29" s="149" t="e">
        <f ca="1">OFFSET('自動車台帳'!K30,'自動車台帳'!$AP30,0)</f>
        <v>#N/A</v>
      </c>
      <c r="J29" s="151" t="e">
        <f ca="1">OFFSET('自動車台帳'!L30,'自動車台帳'!$AP30,0)</f>
        <v>#N/A</v>
      </c>
      <c r="K29" s="152" t="e">
        <f ca="1">OFFSET('自動車台帳'!M30,'自動車台帳'!$AP30,0)</f>
        <v>#N/A</v>
      </c>
      <c r="L29" s="152" t="e">
        <f ca="1">OFFSET('自動車台帳'!N30,'自動車台帳'!$AP30,0)</f>
        <v>#N/A</v>
      </c>
      <c r="M29" s="148" t="e">
        <f ca="1">OFFSET('自動車台帳'!AB30,'自動車台帳'!$AP30,0)</f>
        <v>#N/A</v>
      </c>
      <c r="N29" s="148" t="e">
        <f ca="1">OFFSET('自動車台帳'!AC30,'自動車台帳'!$AP30,0)</f>
        <v>#N/A</v>
      </c>
      <c r="O29" s="153" t="e">
        <f ca="1">OFFSET('自動車台帳'!AD30,'自動車台帳'!$AP30,0)</f>
        <v>#N/A</v>
      </c>
      <c r="P29" s="154" t="e">
        <f ca="1">OFFSET('自動車台帳'!AE30,'自動車台帳'!$AP30,0)</f>
        <v>#N/A</v>
      </c>
      <c r="Q29" s="154" t="e">
        <f ca="1">OFFSET('自動車台帳'!AF30,'自動車台帳'!$AP30,0)</f>
        <v>#N/A</v>
      </c>
    </row>
    <row r="30" spans="1:17" ht="13.5">
      <c r="A30" s="148" t="e">
        <f ca="1">OFFSET('自動車台帳'!C31,'自動車台帳'!$AP31,0)</f>
        <v>#N/A</v>
      </c>
      <c r="B30" s="148" t="e">
        <f ca="1">OFFSET('自動車台帳'!D31,'自動車台帳'!$AP31,0)</f>
        <v>#N/A</v>
      </c>
      <c r="C30" s="148" t="e">
        <f ca="1">OFFSET('自動車台帳'!E31,'自動車台帳'!$AP31,0)</f>
        <v>#N/A</v>
      </c>
      <c r="D30" s="148" t="e">
        <f ca="1">OFFSET('自動車台帳'!F31,'自動車台帳'!$AP31,0)</f>
        <v>#N/A</v>
      </c>
      <c r="E30" s="149" t="e">
        <f ca="1">OFFSET('自動車台帳'!G31,'自動車台帳'!$AP31,0)</f>
        <v>#N/A</v>
      </c>
      <c r="F30" s="150" t="e">
        <f ca="1">OFFSET('自動車台帳'!H31,'自動車台帳'!$AP31,0)</f>
        <v>#N/A</v>
      </c>
      <c r="G30" s="148" t="e">
        <f ca="1">OFFSET('自動車台帳'!I31,'自動車台帳'!$AP31,0)</f>
        <v>#N/A</v>
      </c>
      <c r="H30" s="148" t="e">
        <f ca="1">OFFSET('自動車台帳'!J31,'自動車台帳'!$AP31,0)</f>
        <v>#N/A</v>
      </c>
      <c r="I30" s="149" t="e">
        <f ca="1">OFFSET('自動車台帳'!K31,'自動車台帳'!$AP31,0)</f>
        <v>#N/A</v>
      </c>
      <c r="J30" s="151" t="e">
        <f ca="1">OFFSET('自動車台帳'!L31,'自動車台帳'!$AP31,0)</f>
        <v>#N/A</v>
      </c>
      <c r="K30" s="152" t="e">
        <f ca="1">OFFSET('自動車台帳'!M31,'自動車台帳'!$AP31,0)</f>
        <v>#N/A</v>
      </c>
      <c r="L30" s="152" t="e">
        <f ca="1">OFFSET('自動車台帳'!N31,'自動車台帳'!$AP31,0)</f>
        <v>#N/A</v>
      </c>
      <c r="M30" s="148" t="e">
        <f ca="1">OFFSET('自動車台帳'!AB31,'自動車台帳'!$AP31,0)</f>
        <v>#N/A</v>
      </c>
      <c r="N30" s="148" t="e">
        <f ca="1">OFFSET('自動車台帳'!AC31,'自動車台帳'!$AP31,0)</f>
        <v>#N/A</v>
      </c>
      <c r="O30" s="153" t="e">
        <f ca="1">OFFSET('自動車台帳'!AD31,'自動車台帳'!$AP31,0)</f>
        <v>#N/A</v>
      </c>
      <c r="P30" s="154" t="e">
        <f ca="1">OFFSET('自動車台帳'!AE31,'自動車台帳'!$AP31,0)</f>
        <v>#N/A</v>
      </c>
      <c r="Q30" s="154" t="e">
        <f ca="1">OFFSET('自動車台帳'!AF31,'自動車台帳'!$AP31,0)</f>
        <v>#N/A</v>
      </c>
    </row>
    <row r="31" spans="1:17" ht="13.5">
      <c r="A31" s="148" t="e">
        <f ca="1">OFFSET('自動車台帳'!C32,'自動車台帳'!$AP32,0)</f>
        <v>#N/A</v>
      </c>
      <c r="B31" s="148" t="e">
        <f ca="1">OFFSET('自動車台帳'!D32,'自動車台帳'!$AP32,0)</f>
        <v>#N/A</v>
      </c>
      <c r="C31" s="148" t="e">
        <f ca="1">OFFSET('自動車台帳'!E32,'自動車台帳'!$AP32,0)</f>
        <v>#N/A</v>
      </c>
      <c r="D31" s="148" t="e">
        <f ca="1">OFFSET('自動車台帳'!F32,'自動車台帳'!$AP32,0)</f>
        <v>#N/A</v>
      </c>
      <c r="E31" s="149" t="e">
        <f ca="1">OFFSET('自動車台帳'!G32,'自動車台帳'!$AP32,0)</f>
        <v>#N/A</v>
      </c>
      <c r="F31" s="150" t="e">
        <f ca="1">OFFSET('自動車台帳'!H32,'自動車台帳'!$AP32,0)</f>
        <v>#N/A</v>
      </c>
      <c r="G31" s="148" t="e">
        <f ca="1">OFFSET('自動車台帳'!I32,'自動車台帳'!$AP32,0)</f>
        <v>#N/A</v>
      </c>
      <c r="H31" s="148" t="e">
        <f ca="1">OFFSET('自動車台帳'!J32,'自動車台帳'!$AP32,0)</f>
        <v>#N/A</v>
      </c>
      <c r="I31" s="149" t="e">
        <f ca="1">OFFSET('自動車台帳'!K32,'自動車台帳'!$AP32,0)</f>
        <v>#N/A</v>
      </c>
      <c r="J31" s="151" t="e">
        <f ca="1">OFFSET('自動車台帳'!L32,'自動車台帳'!$AP32,0)</f>
        <v>#N/A</v>
      </c>
      <c r="K31" s="152" t="e">
        <f ca="1">OFFSET('自動車台帳'!M32,'自動車台帳'!$AP32,0)</f>
        <v>#N/A</v>
      </c>
      <c r="L31" s="152" t="e">
        <f ca="1">OFFSET('自動車台帳'!N32,'自動車台帳'!$AP32,0)</f>
        <v>#N/A</v>
      </c>
      <c r="M31" s="148" t="e">
        <f ca="1">OFFSET('自動車台帳'!AB32,'自動車台帳'!$AP32,0)</f>
        <v>#N/A</v>
      </c>
      <c r="N31" s="148" t="e">
        <f ca="1">OFFSET('自動車台帳'!AC32,'自動車台帳'!$AP32,0)</f>
        <v>#N/A</v>
      </c>
      <c r="O31" s="153" t="e">
        <f ca="1">OFFSET('自動車台帳'!AD32,'自動車台帳'!$AP32,0)</f>
        <v>#N/A</v>
      </c>
      <c r="P31" s="154" t="e">
        <f ca="1">OFFSET('自動車台帳'!AE32,'自動車台帳'!$AP32,0)</f>
        <v>#N/A</v>
      </c>
      <c r="Q31" s="154" t="e">
        <f ca="1">OFFSET('自動車台帳'!AF32,'自動車台帳'!$AP32,0)</f>
        <v>#N/A</v>
      </c>
    </row>
    <row r="32" spans="1:17" ht="13.5">
      <c r="A32" s="148" t="e">
        <f ca="1">OFFSET('自動車台帳'!C33,'自動車台帳'!$AP33,0)</f>
        <v>#N/A</v>
      </c>
      <c r="B32" s="148" t="e">
        <f ca="1">OFFSET('自動車台帳'!D33,'自動車台帳'!$AP33,0)</f>
        <v>#N/A</v>
      </c>
      <c r="C32" s="148" t="e">
        <f ca="1">OFFSET('自動車台帳'!E33,'自動車台帳'!$AP33,0)</f>
        <v>#N/A</v>
      </c>
      <c r="D32" s="148" t="e">
        <f ca="1">OFFSET('自動車台帳'!F33,'自動車台帳'!$AP33,0)</f>
        <v>#N/A</v>
      </c>
      <c r="E32" s="149" t="e">
        <f ca="1">OFFSET('自動車台帳'!G33,'自動車台帳'!$AP33,0)</f>
        <v>#N/A</v>
      </c>
      <c r="F32" s="150" t="e">
        <f ca="1">OFFSET('自動車台帳'!H33,'自動車台帳'!$AP33,0)</f>
        <v>#N/A</v>
      </c>
      <c r="G32" s="148" t="e">
        <f ca="1">OFFSET('自動車台帳'!I33,'自動車台帳'!$AP33,0)</f>
        <v>#N/A</v>
      </c>
      <c r="H32" s="148" t="e">
        <f ca="1">OFFSET('自動車台帳'!J33,'自動車台帳'!$AP33,0)</f>
        <v>#N/A</v>
      </c>
      <c r="I32" s="149" t="e">
        <f ca="1">OFFSET('自動車台帳'!K33,'自動車台帳'!$AP33,0)</f>
        <v>#N/A</v>
      </c>
      <c r="J32" s="151" t="e">
        <f ca="1">OFFSET('自動車台帳'!L33,'自動車台帳'!$AP33,0)</f>
        <v>#N/A</v>
      </c>
      <c r="K32" s="152" t="e">
        <f ca="1">OFFSET('自動車台帳'!M33,'自動車台帳'!$AP33,0)</f>
        <v>#N/A</v>
      </c>
      <c r="L32" s="152" t="e">
        <f ca="1">OFFSET('自動車台帳'!N33,'自動車台帳'!$AP33,0)</f>
        <v>#N/A</v>
      </c>
      <c r="M32" s="148" t="e">
        <f ca="1">OFFSET('自動車台帳'!AB33,'自動車台帳'!$AP33,0)</f>
        <v>#N/A</v>
      </c>
      <c r="N32" s="148" t="e">
        <f ca="1">OFFSET('自動車台帳'!AC33,'自動車台帳'!$AP33,0)</f>
        <v>#N/A</v>
      </c>
      <c r="O32" s="153" t="e">
        <f ca="1">OFFSET('自動車台帳'!AD33,'自動車台帳'!$AP33,0)</f>
        <v>#N/A</v>
      </c>
      <c r="P32" s="154" t="e">
        <f ca="1">OFFSET('自動車台帳'!AE33,'自動車台帳'!$AP33,0)</f>
        <v>#N/A</v>
      </c>
      <c r="Q32" s="154" t="e">
        <f ca="1">OFFSET('自動車台帳'!AF33,'自動車台帳'!$AP33,0)</f>
        <v>#N/A</v>
      </c>
    </row>
    <row r="33" spans="1:17" ht="13.5">
      <c r="A33" s="148" t="e">
        <f ca="1">OFFSET('自動車台帳'!C34,'自動車台帳'!$AP34,0)</f>
        <v>#N/A</v>
      </c>
      <c r="B33" s="148" t="e">
        <f ca="1">OFFSET('自動車台帳'!D34,'自動車台帳'!$AP34,0)</f>
        <v>#N/A</v>
      </c>
      <c r="C33" s="148" t="e">
        <f ca="1">OFFSET('自動車台帳'!E34,'自動車台帳'!$AP34,0)</f>
        <v>#N/A</v>
      </c>
      <c r="D33" s="148" t="e">
        <f ca="1">OFFSET('自動車台帳'!F34,'自動車台帳'!$AP34,0)</f>
        <v>#N/A</v>
      </c>
      <c r="E33" s="149" t="e">
        <f ca="1">OFFSET('自動車台帳'!G34,'自動車台帳'!$AP34,0)</f>
        <v>#N/A</v>
      </c>
      <c r="F33" s="150" t="e">
        <f ca="1">OFFSET('自動車台帳'!H34,'自動車台帳'!$AP34,0)</f>
        <v>#N/A</v>
      </c>
      <c r="G33" s="148" t="e">
        <f ca="1">OFFSET('自動車台帳'!I34,'自動車台帳'!$AP34,0)</f>
        <v>#N/A</v>
      </c>
      <c r="H33" s="148" t="e">
        <f ca="1">OFFSET('自動車台帳'!J34,'自動車台帳'!$AP34,0)</f>
        <v>#N/A</v>
      </c>
      <c r="I33" s="149" t="e">
        <f ca="1">OFFSET('自動車台帳'!K34,'自動車台帳'!$AP34,0)</f>
        <v>#N/A</v>
      </c>
      <c r="J33" s="151" t="e">
        <f ca="1">OFFSET('自動車台帳'!L34,'自動車台帳'!$AP34,0)</f>
        <v>#N/A</v>
      </c>
      <c r="K33" s="152" t="e">
        <f ca="1">OFFSET('自動車台帳'!M34,'自動車台帳'!$AP34,0)</f>
        <v>#N/A</v>
      </c>
      <c r="L33" s="152" t="e">
        <f ca="1">OFFSET('自動車台帳'!N34,'自動車台帳'!$AP34,0)</f>
        <v>#N/A</v>
      </c>
      <c r="M33" s="148" t="e">
        <f ca="1">OFFSET('自動車台帳'!AB34,'自動車台帳'!$AP34,0)</f>
        <v>#N/A</v>
      </c>
      <c r="N33" s="148" t="e">
        <f ca="1">OFFSET('自動車台帳'!AC34,'自動車台帳'!$AP34,0)</f>
        <v>#N/A</v>
      </c>
      <c r="O33" s="153" t="e">
        <f ca="1">OFFSET('自動車台帳'!AD34,'自動車台帳'!$AP34,0)</f>
        <v>#N/A</v>
      </c>
      <c r="P33" s="154" t="e">
        <f ca="1">OFFSET('自動車台帳'!AE34,'自動車台帳'!$AP34,0)</f>
        <v>#N/A</v>
      </c>
      <c r="Q33" s="154" t="e">
        <f ca="1">OFFSET('自動車台帳'!AF34,'自動車台帳'!$AP34,0)</f>
        <v>#N/A</v>
      </c>
    </row>
    <row r="34" spans="1:17" ht="13.5">
      <c r="A34" s="148" t="e">
        <f ca="1">OFFSET('自動車台帳'!C35,'自動車台帳'!$AP35,0)</f>
        <v>#N/A</v>
      </c>
      <c r="B34" s="148" t="e">
        <f ca="1">OFFSET('自動車台帳'!D35,'自動車台帳'!$AP35,0)</f>
        <v>#N/A</v>
      </c>
      <c r="C34" s="148" t="e">
        <f ca="1">OFFSET('自動車台帳'!E35,'自動車台帳'!$AP35,0)</f>
        <v>#N/A</v>
      </c>
      <c r="D34" s="148" t="e">
        <f ca="1">OFFSET('自動車台帳'!F35,'自動車台帳'!$AP35,0)</f>
        <v>#N/A</v>
      </c>
      <c r="E34" s="149" t="e">
        <f ca="1">OFFSET('自動車台帳'!G35,'自動車台帳'!$AP35,0)</f>
        <v>#N/A</v>
      </c>
      <c r="F34" s="150" t="e">
        <f ca="1">OFFSET('自動車台帳'!H35,'自動車台帳'!$AP35,0)</f>
        <v>#N/A</v>
      </c>
      <c r="G34" s="148" t="e">
        <f ca="1">OFFSET('自動車台帳'!I35,'自動車台帳'!$AP35,0)</f>
        <v>#N/A</v>
      </c>
      <c r="H34" s="148" t="e">
        <f ca="1">OFFSET('自動車台帳'!J35,'自動車台帳'!$AP35,0)</f>
        <v>#N/A</v>
      </c>
      <c r="I34" s="149" t="e">
        <f ca="1">OFFSET('自動車台帳'!K35,'自動車台帳'!$AP35,0)</f>
        <v>#N/A</v>
      </c>
      <c r="J34" s="151" t="e">
        <f ca="1">OFFSET('自動車台帳'!L35,'自動車台帳'!$AP35,0)</f>
        <v>#N/A</v>
      </c>
      <c r="K34" s="152" t="e">
        <f ca="1">OFFSET('自動車台帳'!M35,'自動車台帳'!$AP35,0)</f>
        <v>#N/A</v>
      </c>
      <c r="L34" s="152" t="e">
        <f ca="1">OFFSET('自動車台帳'!N35,'自動車台帳'!$AP35,0)</f>
        <v>#N/A</v>
      </c>
      <c r="M34" s="148" t="e">
        <f ca="1">OFFSET('自動車台帳'!AB35,'自動車台帳'!$AP35,0)</f>
        <v>#N/A</v>
      </c>
      <c r="N34" s="148" t="e">
        <f ca="1">OFFSET('自動車台帳'!AC35,'自動車台帳'!$AP35,0)</f>
        <v>#N/A</v>
      </c>
      <c r="O34" s="153" t="e">
        <f ca="1">OFFSET('自動車台帳'!AD35,'自動車台帳'!$AP35,0)</f>
        <v>#N/A</v>
      </c>
      <c r="P34" s="154" t="e">
        <f ca="1">OFFSET('自動車台帳'!AE35,'自動車台帳'!$AP35,0)</f>
        <v>#N/A</v>
      </c>
      <c r="Q34" s="154" t="e">
        <f ca="1">OFFSET('自動車台帳'!AF35,'自動車台帳'!$AP35,0)</f>
        <v>#N/A</v>
      </c>
    </row>
    <row r="35" spans="1:17" ht="13.5">
      <c r="A35" s="148" t="e">
        <f ca="1">OFFSET('自動車台帳'!C36,'自動車台帳'!$AP36,0)</f>
        <v>#N/A</v>
      </c>
      <c r="B35" s="148" t="e">
        <f ca="1">OFFSET('自動車台帳'!D36,'自動車台帳'!$AP36,0)</f>
        <v>#N/A</v>
      </c>
      <c r="C35" s="148" t="e">
        <f ca="1">OFFSET('自動車台帳'!E36,'自動車台帳'!$AP36,0)</f>
        <v>#N/A</v>
      </c>
      <c r="D35" s="148" t="e">
        <f ca="1">OFFSET('自動車台帳'!F36,'自動車台帳'!$AP36,0)</f>
        <v>#N/A</v>
      </c>
      <c r="E35" s="149" t="e">
        <f ca="1">OFFSET('自動車台帳'!G36,'自動車台帳'!$AP36,0)</f>
        <v>#N/A</v>
      </c>
      <c r="F35" s="150" t="e">
        <f ca="1">OFFSET('自動車台帳'!H36,'自動車台帳'!$AP36,0)</f>
        <v>#N/A</v>
      </c>
      <c r="G35" s="148" t="e">
        <f ca="1">OFFSET('自動車台帳'!I36,'自動車台帳'!$AP36,0)</f>
        <v>#N/A</v>
      </c>
      <c r="H35" s="148" t="e">
        <f ca="1">OFFSET('自動車台帳'!J36,'自動車台帳'!$AP36,0)</f>
        <v>#N/A</v>
      </c>
      <c r="I35" s="149" t="e">
        <f ca="1">OFFSET('自動車台帳'!K36,'自動車台帳'!$AP36,0)</f>
        <v>#N/A</v>
      </c>
      <c r="J35" s="151" t="e">
        <f ca="1">OFFSET('自動車台帳'!L36,'自動車台帳'!$AP36,0)</f>
        <v>#N/A</v>
      </c>
      <c r="K35" s="152" t="e">
        <f ca="1">OFFSET('自動車台帳'!M36,'自動車台帳'!$AP36,0)</f>
        <v>#N/A</v>
      </c>
      <c r="L35" s="152" t="e">
        <f ca="1">OFFSET('自動車台帳'!N36,'自動車台帳'!$AP36,0)</f>
        <v>#N/A</v>
      </c>
      <c r="M35" s="148" t="e">
        <f ca="1">OFFSET('自動車台帳'!AB36,'自動車台帳'!$AP36,0)</f>
        <v>#N/A</v>
      </c>
      <c r="N35" s="148" t="e">
        <f ca="1">OFFSET('自動車台帳'!AC36,'自動車台帳'!$AP36,0)</f>
        <v>#N/A</v>
      </c>
      <c r="O35" s="153" t="e">
        <f ca="1">OFFSET('自動車台帳'!AD36,'自動車台帳'!$AP36,0)</f>
        <v>#N/A</v>
      </c>
      <c r="P35" s="154" t="e">
        <f ca="1">OFFSET('自動車台帳'!AE36,'自動車台帳'!$AP36,0)</f>
        <v>#N/A</v>
      </c>
      <c r="Q35" s="154" t="e">
        <f ca="1">OFFSET('自動車台帳'!AF36,'自動車台帳'!$AP36,0)</f>
        <v>#N/A</v>
      </c>
    </row>
    <row r="36" spans="1:17" ht="13.5">
      <c r="A36" s="148" t="e">
        <f ca="1">OFFSET('自動車台帳'!C37,'自動車台帳'!$AP37,0)</f>
        <v>#N/A</v>
      </c>
      <c r="B36" s="148" t="e">
        <f ca="1">OFFSET('自動車台帳'!D37,'自動車台帳'!$AP37,0)</f>
        <v>#N/A</v>
      </c>
      <c r="C36" s="148" t="e">
        <f ca="1">OFFSET('自動車台帳'!E37,'自動車台帳'!$AP37,0)</f>
        <v>#N/A</v>
      </c>
      <c r="D36" s="148" t="e">
        <f ca="1">OFFSET('自動車台帳'!F37,'自動車台帳'!$AP37,0)</f>
        <v>#N/A</v>
      </c>
      <c r="E36" s="149" t="e">
        <f ca="1">OFFSET('自動車台帳'!G37,'自動車台帳'!$AP37,0)</f>
        <v>#N/A</v>
      </c>
      <c r="F36" s="150" t="e">
        <f ca="1">OFFSET('自動車台帳'!H37,'自動車台帳'!$AP37,0)</f>
        <v>#N/A</v>
      </c>
      <c r="G36" s="148" t="e">
        <f ca="1">OFFSET('自動車台帳'!I37,'自動車台帳'!$AP37,0)</f>
        <v>#N/A</v>
      </c>
      <c r="H36" s="148" t="e">
        <f ca="1">OFFSET('自動車台帳'!J37,'自動車台帳'!$AP37,0)</f>
        <v>#N/A</v>
      </c>
      <c r="I36" s="149" t="e">
        <f ca="1">OFFSET('自動車台帳'!K37,'自動車台帳'!$AP37,0)</f>
        <v>#N/A</v>
      </c>
      <c r="J36" s="151" t="e">
        <f ca="1">OFFSET('自動車台帳'!L37,'自動車台帳'!$AP37,0)</f>
        <v>#N/A</v>
      </c>
      <c r="K36" s="152" t="e">
        <f ca="1">OFFSET('自動車台帳'!M37,'自動車台帳'!$AP37,0)</f>
        <v>#N/A</v>
      </c>
      <c r="L36" s="152" t="e">
        <f ca="1">OFFSET('自動車台帳'!N37,'自動車台帳'!$AP37,0)</f>
        <v>#N/A</v>
      </c>
      <c r="M36" s="148" t="e">
        <f ca="1">OFFSET('自動車台帳'!AB37,'自動車台帳'!$AP37,0)</f>
        <v>#N/A</v>
      </c>
      <c r="N36" s="148" t="e">
        <f ca="1">OFFSET('自動車台帳'!AC37,'自動車台帳'!$AP37,0)</f>
        <v>#N/A</v>
      </c>
      <c r="O36" s="153" t="e">
        <f ca="1">OFFSET('自動車台帳'!AD37,'自動車台帳'!$AP37,0)</f>
        <v>#N/A</v>
      </c>
      <c r="P36" s="154" t="e">
        <f ca="1">OFFSET('自動車台帳'!AE37,'自動車台帳'!$AP37,0)</f>
        <v>#N/A</v>
      </c>
      <c r="Q36" s="154" t="e">
        <f ca="1">OFFSET('自動車台帳'!AF37,'自動車台帳'!$AP37,0)</f>
        <v>#N/A</v>
      </c>
    </row>
    <row r="37" spans="1:17" ht="13.5">
      <c r="A37" s="148" t="e">
        <f ca="1">OFFSET('自動車台帳'!C38,'自動車台帳'!$AP38,0)</f>
        <v>#N/A</v>
      </c>
      <c r="B37" s="148" t="e">
        <f ca="1">OFFSET('自動車台帳'!D38,'自動車台帳'!$AP38,0)</f>
        <v>#N/A</v>
      </c>
      <c r="C37" s="148" t="e">
        <f ca="1">OFFSET('自動車台帳'!E38,'自動車台帳'!$AP38,0)</f>
        <v>#N/A</v>
      </c>
      <c r="D37" s="148" t="e">
        <f ca="1">OFFSET('自動車台帳'!F38,'自動車台帳'!$AP38,0)</f>
        <v>#N/A</v>
      </c>
      <c r="E37" s="149" t="e">
        <f ca="1">OFFSET('自動車台帳'!G38,'自動車台帳'!$AP38,0)</f>
        <v>#N/A</v>
      </c>
      <c r="F37" s="150" t="e">
        <f ca="1">OFFSET('自動車台帳'!H38,'自動車台帳'!$AP38,0)</f>
        <v>#N/A</v>
      </c>
      <c r="G37" s="148" t="e">
        <f ca="1">OFFSET('自動車台帳'!I38,'自動車台帳'!$AP38,0)</f>
        <v>#N/A</v>
      </c>
      <c r="H37" s="148" t="e">
        <f ca="1">OFFSET('自動車台帳'!J38,'自動車台帳'!$AP38,0)</f>
        <v>#N/A</v>
      </c>
      <c r="I37" s="149" t="e">
        <f ca="1">OFFSET('自動車台帳'!K38,'自動車台帳'!$AP38,0)</f>
        <v>#N/A</v>
      </c>
      <c r="J37" s="151" t="e">
        <f ca="1">OFFSET('自動車台帳'!L38,'自動車台帳'!$AP38,0)</f>
        <v>#N/A</v>
      </c>
      <c r="K37" s="152" t="e">
        <f ca="1">OFFSET('自動車台帳'!M38,'自動車台帳'!$AP38,0)</f>
        <v>#N/A</v>
      </c>
      <c r="L37" s="152" t="e">
        <f ca="1">OFFSET('自動車台帳'!N38,'自動車台帳'!$AP38,0)</f>
        <v>#N/A</v>
      </c>
      <c r="M37" s="148" t="e">
        <f ca="1">OFFSET('自動車台帳'!AB38,'自動車台帳'!$AP38,0)</f>
        <v>#N/A</v>
      </c>
      <c r="N37" s="148" t="e">
        <f ca="1">OFFSET('自動車台帳'!AC38,'自動車台帳'!$AP38,0)</f>
        <v>#N/A</v>
      </c>
      <c r="O37" s="153" t="e">
        <f ca="1">OFFSET('自動車台帳'!AD38,'自動車台帳'!$AP38,0)</f>
        <v>#N/A</v>
      </c>
      <c r="P37" s="154" t="e">
        <f ca="1">OFFSET('自動車台帳'!AE38,'自動車台帳'!$AP38,0)</f>
        <v>#N/A</v>
      </c>
      <c r="Q37" s="154" t="e">
        <f ca="1">OFFSET('自動車台帳'!AF38,'自動車台帳'!$AP38,0)</f>
        <v>#N/A</v>
      </c>
    </row>
    <row r="38" spans="1:17" ht="13.5">
      <c r="A38" s="148" t="e">
        <f ca="1">OFFSET('自動車台帳'!C39,'自動車台帳'!$AP39,0)</f>
        <v>#N/A</v>
      </c>
      <c r="B38" s="148" t="e">
        <f ca="1">OFFSET('自動車台帳'!D39,'自動車台帳'!$AP39,0)</f>
        <v>#N/A</v>
      </c>
      <c r="C38" s="148" t="e">
        <f ca="1">OFFSET('自動車台帳'!E39,'自動車台帳'!$AP39,0)</f>
        <v>#N/A</v>
      </c>
      <c r="D38" s="148" t="e">
        <f ca="1">OFFSET('自動車台帳'!F39,'自動車台帳'!$AP39,0)</f>
        <v>#N/A</v>
      </c>
      <c r="E38" s="149" t="e">
        <f ca="1">OFFSET('自動車台帳'!G39,'自動車台帳'!$AP39,0)</f>
        <v>#N/A</v>
      </c>
      <c r="F38" s="150" t="e">
        <f ca="1">OFFSET('自動車台帳'!H39,'自動車台帳'!$AP39,0)</f>
        <v>#N/A</v>
      </c>
      <c r="G38" s="148" t="e">
        <f ca="1">OFFSET('自動車台帳'!I39,'自動車台帳'!$AP39,0)</f>
        <v>#N/A</v>
      </c>
      <c r="H38" s="148" t="e">
        <f ca="1">OFFSET('自動車台帳'!J39,'自動車台帳'!$AP39,0)</f>
        <v>#N/A</v>
      </c>
      <c r="I38" s="149" t="e">
        <f ca="1">OFFSET('自動車台帳'!K39,'自動車台帳'!$AP39,0)</f>
        <v>#N/A</v>
      </c>
      <c r="J38" s="151" t="e">
        <f ca="1">OFFSET('自動車台帳'!L39,'自動車台帳'!$AP39,0)</f>
        <v>#N/A</v>
      </c>
      <c r="K38" s="152" t="e">
        <f ca="1">OFFSET('自動車台帳'!M39,'自動車台帳'!$AP39,0)</f>
        <v>#N/A</v>
      </c>
      <c r="L38" s="152" t="e">
        <f ca="1">OFFSET('自動車台帳'!N39,'自動車台帳'!$AP39,0)</f>
        <v>#N/A</v>
      </c>
      <c r="M38" s="148" t="e">
        <f ca="1">OFFSET('自動車台帳'!AB39,'自動車台帳'!$AP39,0)</f>
        <v>#N/A</v>
      </c>
      <c r="N38" s="148" t="e">
        <f ca="1">OFFSET('自動車台帳'!AC39,'自動車台帳'!$AP39,0)</f>
        <v>#N/A</v>
      </c>
      <c r="O38" s="153" t="e">
        <f ca="1">OFFSET('自動車台帳'!AD39,'自動車台帳'!$AP39,0)</f>
        <v>#N/A</v>
      </c>
      <c r="P38" s="154" t="e">
        <f ca="1">OFFSET('自動車台帳'!AE39,'自動車台帳'!$AP39,0)</f>
        <v>#N/A</v>
      </c>
      <c r="Q38" s="154" t="e">
        <f ca="1">OFFSET('自動車台帳'!AF39,'自動車台帳'!$AP39,0)</f>
        <v>#N/A</v>
      </c>
    </row>
    <row r="39" spans="1:17" ht="13.5">
      <c r="A39" s="148" t="e">
        <f ca="1">OFFSET('自動車台帳'!C40,'自動車台帳'!$AP40,0)</f>
        <v>#N/A</v>
      </c>
      <c r="B39" s="148" t="e">
        <f ca="1">OFFSET('自動車台帳'!D40,'自動車台帳'!$AP40,0)</f>
        <v>#N/A</v>
      </c>
      <c r="C39" s="148" t="e">
        <f ca="1">OFFSET('自動車台帳'!E40,'自動車台帳'!$AP40,0)</f>
        <v>#N/A</v>
      </c>
      <c r="D39" s="148" t="e">
        <f ca="1">OFFSET('自動車台帳'!F40,'自動車台帳'!$AP40,0)</f>
        <v>#N/A</v>
      </c>
      <c r="E39" s="149" t="e">
        <f ca="1">OFFSET('自動車台帳'!G40,'自動車台帳'!$AP40,0)</f>
        <v>#N/A</v>
      </c>
      <c r="F39" s="150" t="e">
        <f ca="1">OFFSET('自動車台帳'!H40,'自動車台帳'!$AP40,0)</f>
        <v>#N/A</v>
      </c>
      <c r="G39" s="148" t="e">
        <f ca="1">OFFSET('自動車台帳'!I40,'自動車台帳'!$AP40,0)</f>
        <v>#N/A</v>
      </c>
      <c r="H39" s="148" t="e">
        <f ca="1">OFFSET('自動車台帳'!J40,'自動車台帳'!$AP40,0)</f>
        <v>#N/A</v>
      </c>
      <c r="I39" s="149" t="e">
        <f ca="1">OFFSET('自動車台帳'!K40,'自動車台帳'!$AP40,0)</f>
        <v>#N/A</v>
      </c>
      <c r="J39" s="151" t="e">
        <f ca="1">OFFSET('自動車台帳'!L40,'自動車台帳'!$AP40,0)</f>
        <v>#N/A</v>
      </c>
      <c r="K39" s="152" t="e">
        <f ca="1">OFFSET('自動車台帳'!M40,'自動車台帳'!$AP40,0)</f>
        <v>#N/A</v>
      </c>
      <c r="L39" s="152" t="e">
        <f ca="1">OFFSET('自動車台帳'!N40,'自動車台帳'!$AP40,0)</f>
        <v>#N/A</v>
      </c>
      <c r="M39" s="148" t="e">
        <f ca="1">OFFSET('自動車台帳'!AB40,'自動車台帳'!$AP40,0)</f>
        <v>#N/A</v>
      </c>
      <c r="N39" s="148" t="e">
        <f ca="1">OFFSET('自動車台帳'!AC40,'自動車台帳'!$AP40,0)</f>
        <v>#N/A</v>
      </c>
      <c r="O39" s="153" t="e">
        <f ca="1">OFFSET('自動車台帳'!AD40,'自動車台帳'!$AP40,0)</f>
        <v>#N/A</v>
      </c>
      <c r="P39" s="154" t="e">
        <f ca="1">OFFSET('自動車台帳'!AE40,'自動車台帳'!$AP40,0)</f>
        <v>#N/A</v>
      </c>
      <c r="Q39" s="154" t="e">
        <f ca="1">OFFSET('自動車台帳'!AF40,'自動車台帳'!$AP40,0)</f>
        <v>#N/A</v>
      </c>
    </row>
    <row r="40" spans="1:17" ht="13.5">
      <c r="A40" s="148" t="e">
        <f ca="1">OFFSET('自動車台帳'!C41,'自動車台帳'!$AP41,0)</f>
        <v>#N/A</v>
      </c>
      <c r="B40" s="148" t="e">
        <f ca="1">OFFSET('自動車台帳'!D41,'自動車台帳'!$AP41,0)</f>
        <v>#N/A</v>
      </c>
      <c r="C40" s="148" t="e">
        <f ca="1">OFFSET('自動車台帳'!E41,'自動車台帳'!$AP41,0)</f>
        <v>#N/A</v>
      </c>
      <c r="D40" s="148" t="e">
        <f ca="1">OFFSET('自動車台帳'!F41,'自動車台帳'!$AP41,0)</f>
        <v>#N/A</v>
      </c>
      <c r="E40" s="149" t="e">
        <f ca="1">OFFSET('自動車台帳'!G41,'自動車台帳'!$AP41,0)</f>
        <v>#N/A</v>
      </c>
      <c r="F40" s="150" t="e">
        <f ca="1">OFFSET('自動車台帳'!H41,'自動車台帳'!$AP41,0)</f>
        <v>#N/A</v>
      </c>
      <c r="G40" s="148" t="e">
        <f ca="1">OFFSET('自動車台帳'!I41,'自動車台帳'!$AP41,0)</f>
        <v>#N/A</v>
      </c>
      <c r="H40" s="148" t="e">
        <f ca="1">OFFSET('自動車台帳'!J41,'自動車台帳'!$AP41,0)</f>
        <v>#N/A</v>
      </c>
      <c r="I40" s="149" t="e">
        <f ca="1">OFFSET('自動車台帳'!K41,'自動車台帳'!$AP41,0)</f>
        <v>#N/A</v>
      </c>
      <c r="J40" s="151" t="e">
        <f ca="1">OFFSET('自動車台帳'!L41,'自動車台帳'!$AP41,0)</f>
        <v>#N/A</v>
      </c>
      <c r="K40" s="152" t="e">
        <f ca="1">OFFSET('自動車台帳'!M41,'自動車台帳'!$AP41,0)</f>
        <v>#N/A</v>
      </c>
      <c r="L40" s="152" t="e">
        <f ca="1">OFFSET('自動車台帳'!N41,'自動車台帳'!$AP41,0)</f>
        <v>#N/A</v>
      </c>
      <c r="M40" s="148" t="e">
        <f ca="1">OFFSET('自動車台帳'!AB41,'自動車台帳'!$AP41,0)</f>
        <v>#N/A</v>
      </c>
      <c r="N40" s="148" t="e">
        <f ca="1">OFFSET('自動車台帳'!AC41,'自動車台帳'!$AP41,0)</f>
        <v>#N/A</v>
      </c>
      <c r="O40" s="153" t="e">
        <f ca="1">OFFSET('自動車台帳'!AD41,'自動車台帳'!$AP41,0)</f>
        <v>#N/A</v>
      </c>
      <c r="P40" s="154" t="e">
        <f ca="1">OFFSET('自動車台帳'!AE41,'自動車台帳'!$AP41,0)</f>
        <v>#N/A</v>
      </c>
      <c r="Q40" s="154" t="e">
        <f ca="1">OFFSET('自動車台帳'!AF41,'自動車台帳'!$AP41,0)</f>
        <v>#N/A</v>
      </c>
    </row>
    <row r="41" spans="1:17" ht="13.5">
      <c r="A41" s="148" t="e">
        <f ca="1">OFFSET('自動車台帳'!C42,'自動車台帳'!$AP42,0)</f>
        <v>#N/A</v>
      </c>
      <c r="B41" s="148" t="e">
        <f ca="1">OFFSET('自動車台帳'!D42,'自動車台帳'!$AP42,0)</f>
        <v>#N/A</v>
      </c>
      <c r="C41" s="148" t="e">
        <f ca="1">OFFSET('自動車台帳'!E42,'自動車台帳'!$AP42,0)</f>
        <v>#N/A</v>
      </c>
      <c r="D41" s="148" t="e">
        <f ca="1">OFFSET('自動車台帳'!F42,'自動車台帳'!$AP42,0)</f>
        <v>#N/A</v>
      </c>
      <c r="E41" s="149" t="e">
        <f ca="1">OFFSET('自動車台帳'!G42,'自動車台帳'!$AP42,0)</f>
        <v>#N/A</v>
      </c>
      <c r="F41" s="150" t="e">
        <f ca="1">OFFSET('自動車台帳'!H42,'自動車台帳'!$AP42,0)</f>
        <v>#N/A</v>
      </c>
      <c r="G41" s="148" t="e">
        <f ca="1">OFFSET('自動車台帳'!I42,'自動車台帳'!$AP42,0)</f>
        <v>#N/A</v>
      </c>
      <c r="H41" s="148" t="e">
        <f ca="1">OFFSET('自動車台帳'!J42,'自動車台帳'!$AP42,0)</f>
        <v>#N/A</v>
      </c>
      <c r="I41" s="149" t="e">
        <f ca="1">OFFSET('自動車台帳'!K42,'自動車台帳'!$AP42,0)</f>
        <v>#N/A</v>
      </c>
      <c r="J41" s="151" t="e">
        <f ca="1">OFFSET('自動車台帳'!L42,'自動車台帳'!$AP42,0)</f>
        <v>#N/A</v>
      </c>
      <c r="K41" s="152" t="e">
        <f ca="1">OFFSET('自動車台帳'!M42,'自動車台帳'!$AP42,0)</f>
        <v>#N/A</v>
      </c>
      <c r="L41" s="152" t="e">
        <f ca="1">OFFSET('自動車台帳'!N42,'自動車台帳'!$AP42,0)</f>
        <v>#N/A</v>
      </c>
      <c r="M41" s="148" t="e">
        <f ca="1">OFFSET('自動車台帳'!AB42,'自動車台帳'!$AP42,0)</f>
        <v>#N/A</v>
      </c>
      <c r="N41" s="148" t="e">
        <f ca="1">OFFSET('自動車台帳'!AC42,'自動車台帳'!$AP42,0)</f>
        <v>#N/A</v>
      </c>
      <c r="O41" s="153" t="e">
        <f ca="1">OFFSET('自動車台帳'!AD42,'自動車台帳'!$AP42,0)</f>
        <v>#N/A</v>
      </c>
      <c r="P41" s="154" t="e">
        <f ca="1">OFFSET('自動車台帳'!AE42,'自動車台帳'!$AP42,0)</f>
        <v>#N/A</v>
      </c>
      <c r="Q41" s="154" t="e">
        <f ca="1">OFFSET('自動車台帳'!AF42,'自動車台帳'!$AP42,0)</f>
        <v>#N/A</v>
      </c>
    </row>
    <row r="42" spans="1:17" ht="13.5">
      <c r="A42" s="148" t="e">
        <f ca="1">OFFSET('自動車台帳'!C43,'自動車台帳'!$AP43,0)</f>
        <v>#N/A</v>
      </c>
      <c r="B42" s="148" t="e">
        <f ca="1">OFFSET('自動車台帳'!D43,'自動車台帳'!$AP43,0)</f>
        <v>#N/A</v>
      </c>
      <c r="C42" s="148" t="e">
        <f ca="1">OFFSET('自動車台帳'!E43,'自動車台帳'!$AP43,0)</f>
        <v>#N/A</v>
      </c>
      <c r="D42" s="148" t="e">
        <f ca="1">OFFSET('自動車台帳'!F43,'自動車台帳'!$AP43,0)</f>
        <v>#N/A</v>
      </c>
      <c r="E42" s="149" t="e">
        <f ca="1">OFFSET('自動車台帳'!G43,'自動車台帳'!$AP43,0)</f>
        <v>#N/A</v>
      </c>
      <c r="F42" s="150" t="e">
        <f ca="1">OFFSET('自動車台帳'!H43,'自動車台帳'!$AP43,0)</f>
        <v>#N/A</v>
      </c>
      <c r="G42" s="148" t="e">
        <f ca="1">OFFSET('自動車台帳'!I43,'自動車台帳'!$AP43,0)</f>
        <v>#N/A</v>
      </c>
      <c r="H42" s="148" t="e">
        <f ca="1">OFFSET('自動車台帳'!J43,'自動車台帳'!$AP43,0)</f>
        <v>#N/A</v>
      </c>
      <c r="I42" s="149" t="e">
        <f ca="1">OFFSET('自動車台帳'!K43,'自動車台帳'!$AP43,0)</f>
        <v>#N/A</v>
      </c>
      <c r="J42" s="151" t="e">
        <f ca="1">OFFSET('自動車台帳'!L43,'自動車台帳'!$AP43,0)</f>
        <v>#N/A</v>
      </c>
      <c r="K42" s="152" t="e">
        <f ca="1">OFFSET('自動車台帳'!M43,'自動車台帳'!$AP43,0)</f>
        <v>#N/A</v>
      </c>
      <c r="L42" s="152" t="e">
        <f ca="1">OFFSET('自動車台帳'!N43,'自動車台帳'!$AP43,0)</f>
        <v>#N/A</v>
      </c>
      <c r="M42" s="148" t="e">
        <f ca="1">OFFSET('自動車台帳'!AB43,'自動車台帳'!$AP43,0)</f>
        <v>#N/A</v>
      </c>
      <c r="N42" s="148" t="e">
        <f ca="1">OFFSET('自動車台帳'!AC43,'自動車台帳'!$AP43,0)</f>
        <v>#N/A</v>
      </c>
      <c r="O42" s="153" t="e">
        <f ca="1">OFFSET('自動車台帳'!AD43,'自動車台帳'!$AP43,0)</f>
        <v>#N/A</v>
      </c>
      <c r="P42" s="154" t="e">
        <f ca="1">OFFSET('自動車台帳'!AE43,'自動車台帳'!$AP43,0)</f>
        <v>#N/A</v>
      </c>
      <c r="Q42" s="154" t="e">
        <f ca="1">OFFSET('自動車台帳'!AF43,'自動車台帳'!$AP43,0)</f>
        <v>#N/A</v>
      </c>
    </row>
    <row r="43" spans="1:17" ht="13.5">
      <c r="A43" s="148" t="e">
        <f ca="1">OFFSET('自動車台帳'!C44,'自動車台帳'!$AP44,0)</f>
        <v>#N/A</v>
      </c>
      <c r="B43" s="148" t="e">
        <f ca="1">OFFSET('自動車台帳'!D44,'自動車台帳'!$AP44,0)</f>
        <v>#N/A</v>
      </c>
      <c r="C43" s="148" t="e">
        <f ca="1">OFFSET('自動車台帳'!E44,'自動車台帳'!$AP44,0)</f>
        <v>#N/A</v>
      </c>
      <c r="D43" s="148" t="e">
        <f ca="1">OFFSET('自動車台帳'!F44,'自動車台帳'!$AP44,0)</f>
        <v>#N/A</v>
      </c>
      <c r="E43" s="149" t="e">
        <f ca="1">OFFSET('自動車台帳'!G44,'自動車台帳'!$AP44,0)</f>
        <v>#N/A</v>
      </c>
      <c r="F43" s="150" t="e">
        <f ca="1">OFFSET('自動車台帳'!H44,'自動車台帳'!$AP44,0)</f>
        <v>#N/A</v>
      </c>
      <c r="G43" s="148" t="e">
        <f ca="1">OFFSET('自動車台帳'!I44,'自動車台帳'!$AP44,0)</f>
        <v>#N/A</v>
      </c>
      <c r="H43" s="148" t="e">
        <f ca="1">OFFSET('自動車台帳'!J44,'自動車台帳'!$AP44,0)</f>
        <v>#N/A</v>
      </c>
      <c r="I43" s="149" t="e">
        <f ca="1">OFFSET('自動車台帳'!K44,'自動車台帳'!$AP44,0)</f>
        <v>#N/A</v>
      </c>
      <c r="J43" s="151" t="e">
        <f ca="1">OFFSET('自動車台帳'!L44,'自動車台帳'!$AP44,0)</f>
        <v>#N/A</v>
      </c>
      <c r="K43" s="152" t="e">
        <f ca="1">OFFSET('自動車台帳'!M44,'自動車台帳'!$AP44,0)</f>
        <v>#N/A</v>
      </c>
      <c r="L43" s="152" t="e">
        <f ca="1">OFFSET('自動車台帳'!N44,'自動車台帳'!$AP44,0)</f>
        <v>#N/A</v>
      </c>
      <c r="M43" s="148" t="e">
        <f ca="1">OFFSET('自動車台帳'!AB44,'自動車台帳'!$AP44,0)</f>
        <v>#N/A</v>
      </c>
      <c r="N43" s="148" t="e">
        <f ca="1">OFFSET('自動車台帳'!AC44,'自動車台帳'!$AP44,0)</f>
        <v>#N/A</v>
      </c>
      <c r="O43" s="153" t="e">
        <f ca="1">OFFSET('自動車台帳'!AD44,'自動車台帳'!$AP44,0)</f>
        <v>#N/A</v>
      </c>
      <c r="P43" s="154" t="e">
        <f ca="1">OFFSET('自動車台帳'!AE44,'自動車台帳'!$AP44,0)</f>
        <v>#N/A</v>
      </c>
      <c r="Q43" s="154" t="e">
        <f ca="1">OFFSET('自動車台帳'!AF44,'自動車台帳'!$AP44,0)</f>
        <v>#N/A</v>
      </c>
    </row>
    <row r="44" spans="1:17" ht="13.5">
      <c r="A44" s="148" t="e">
        <f ca="1">OFFSET('自動車台帳'!C45,'自動車台帳'!$AP45,0)</f>
        <v>#N/A</v>
      </c>
      <c r="B44" s="148" t="e">
        <f ca="1">OFFSET('自動車台帳'!D45,'自動車台帳'!$AP45,0)</f>
        <v>#N/A</v>
      </c>
      <c r="C44" s="148" t="e">
        <f ca="1">OFFSET('自動車台帳'!E45,'自動車台帳'!$AP45,0)</f>
        <v>#N/A</v>
      </c>
      <c r="D44" s="148" t="e">
        <f ca="1">OFFSET('自動車台帳'!F45,'自動車台帳'!$AP45,0)</f>
        <v>#N/A</v>
      </c>
      <c r="E44" s="149" t="e">
        <f ca="1">OFFSET('自動車台帳'!G45,'自動車台帳'!$AP45,0)</f>
        <v>#N/A</v>
      </c>
      <c r="F44" s="150" t="e">
        <f ca="1">OFFSET('自動車台帳'!H45,'自動車台帳'!$AP45,0)</f>
        <v>#N/A</v>
      </c>
      <c r="G44" s="148" t="e">
        <f ca="1">OFFSET('自動車台帳'!I45,'自動車台帳'!$AP45,0)</f>
        <v>#N/A</v>
      </c>
      <c r="H44" s="148" t="e">
        <f ca="1">OFFSET('自動車台帳'!J45,'自動車台帳'!$AP45,0)</f>
        <v>#N/A</v>
      </c>
      <c r="I44" s="149" t="e">
        <f ca="1">OFFSET('自動車台帳'!K45,'自動車台帳'!$AP45,0)</f>
        <v>#N/A</v>
      </c>
      <c r="J44" s="151" t="e">
        <f ca="1">OFFSET('自動車台帳'!L45,'自動車台帳'!$AP45,0)</f>
        <v>#N/A</v>
      </c>
      <c r="K44" s="152" t="e">
        <f ca="1">OFFSET('自動車台帳'!M45,'自動車台帳'!$AP45,0)</f>
        <v>#N/A</v>
      </c>
      <c r="L44" s="152" t="e">
        <f ca="1">OFFSET('自動車台帳'!N45,'自動車台帳'!$AP45,0)</f>
        <v>#N/A</v>
      </c>
      <c r="M44" s="148" t="e">
        <f ca="1">OFFSET('自動車台帳'!AB45,'自動車台帳'!$AP45,0)</f>
        <v>#N/A</v>
      </c>
      <c r="N44" s="148" t="e">
        <f ca="1">OFFSET('自動車台帳'!AC45,'自動車台帳'!$AP45,0)</f>
        <v>#N/A</v>
      </c>
      <c r="O44" s="153" t="e">
        <f ca="1">OFFSET('自動車台帳'!AD45,'自動車台帳'!$AP45,0)</f>
        <v>#N/A</v>
      </c>
      <c r="P44" s="154" t="e">
        <f ca="1">OFFSET('自動車台帳'!AE45,'自動車台帳'!$AP45,0)</f>
        <v>#N/A</v>
      </c>
      <c r="Q44" s="154" t="e">
        <f ca="1">OFFSET('自動車台帳'!AF45,'自動車台帳'!$AP45,0)</f>
        <v>#N/A</v>
      </c>
    </row>
    <row r="45" spans="1:17" ht="13.5">
      <c r="A45" s="148" t="e">
        <f ca="1">OFFSET('自動車台帳'!C46,'自動車台帳'!$AP46,0)</f>
        <v>#N/A</v>
      </c>
      <c r="B45" s="148" t="e">
        <f ca="1">OFFSET('自動車台帳'!D46,'自動車台帳'!$AP46,0)</f>
        <v>#N/A</v>
      </c>
      <c r="C45" s="148" t="e">
        <f ca="1">OFFSET('自動車台帳'!E46,'自動車台帳'!$AP46,0)</f>
        <v>#N/A</v>
      </c>
      <c r="D45" s="148" t="e">
        <f ca="1">OFFSET('自動車台帳'!F46,'自動車台帳'!$AP46,0)</f>
        <v>#N/A</v>
      </c>
      <c r="E45" s="149" t="e">
        <f ca="1">OFFSET('自動車台帳'!G46,'自動車台帳'!$AP46,0)</f>
        <v>#N/A</v>
      </c>
      <c r="F45" s="150" t="e">
        <f ca="1">OFFSET('自動車台帳'!H46,'自動車台帳'!$AP46,0)</f>
        <v>#N/A</v>
      </c>
      <c r="G45" s="148" t="e">
        <f ca="1">OFFSET('自動車台帳'!I46,'自動車台帳'!$AP46,0)</f>
        <v>#N/A</v>
      </c>
      <c r="H45" s="148" t="e">
        <f ca="1">OFFSET('自動車台帳'!J46,'自動車台帳'!$AP46,0)</f>
        <v>#N/A</v>
      </c>
      <c r="I45" s="149" t="e">
        <f ca="1">OFFSET('自動車台帳'!K46,'自動車台帳'!$AP46,0)</f>
        <v>#N/A</v>
      </c>
      <c r="J45" s="151" t="e">
        <f ca="1">OFFSET('自動車台帳'!L46,'自動車台帳'!$AP46,0)</f>
        <v>#N/A</v>
      </c>
      <c r="K45" s="152" t="e">
        <f ca="1">OFFSET('自動車台帳'!M46,'自動車台帳'!$AP46,0)</f>
        <v>#N/A</v>
      </c>
      <c r="L45" s="152" t="e">
        <f ca="1">OFFSET('自動車台帳'!N46,'自動車台帳'!$AP46,0)</f>
        <v>#N/A</v>
      </c>
      <c r="M45" s="148" t="e">
        <f ca="1">OFFSET('自動車台帳'!AB46,'自動車台帳'!$AP46,0)</f>
        <v>#N/A</v>
      </c>
      <c r="N45" s="148" t="e">
        <f ca="1">OFFSET('自動車台帳'!AC46,'自動車台帳'!$AP46,0)</f>
        <v>#N/A</v>
      </c>
      <c r="O45" s="153" t="e">
        <f ca="1">OFFSET('自動車台帳'!AD46,'自動車台帳'!$AP46,0)</f>
        <v>#N/A</v>
      </c>
      <c r="P45" s="154" t="e">
        <f ca="1">OFFSET('自動車台帳'!AE46,'自動車台帳'!$AP46,0)</f>
        <v>#N/A</v>
      </c>
      <c r="Q45" s="154" t="e">
        <f ca="1">OFFSET('自動車台帳'!AF46,'自動車台帳'!$AP46,0)</f>
        <v>#N/A</v>
      </c>
    </row>
    <row r="46" spans="1:17" ht="13.5">
      <c r="A46" s="148" t="e">
        <f ca="1">OFFSET('自動車台帳'!C47,'自動車台帳'!$AP47,0)</f>
        <v>#N/A</v>
      </c>
      <c r="B46" s="148" t="e">
        <f ca="1">OFFSET('自動車台帳'!D47,'自動車台帳'!$AP47,0)</f>
        <v>#N/A</v>
      </c>
      <c r="C46" s="148" t="e">
        <f ca="1">OFFSET('自動車台帳'!E47,'自動車台帳'!$AP47,0)</f>
        <v>#N/A</v>
      </c>
      <c r="D46" s="148" t="e">
        <f ca="1">OFFSET('自動車台帳'!F47,'自動車台帳'!$AP47,0)</f>
        <v>#N/A</v>
      </c>
      <c r="E46" s="149" t="e">
        <f ca="1">OFFSET('自動車台帳'!G47,'自動車台帳'!$AP47,0)</f>
        <v>#N/A</v>
      </c>
      <c r="F46" s="150" t="e">
        <f ca="1">OFFSET('自動車台帳'!H47,'自動車台帳'!$AP47,0)</f>
        <v>#N/A</v>
      </c>
      <c r="G46" s="148" t="e">
        <f ca="1">OFFSET('自動車台帳'!I47,'自動車台帳'!$AP47,0)</f>
        <v>#N/A</v>
      </c>
      <c r="H46" s="148" t="e">
        <f ca="1">OFFSET('自動車台帳'!J47,'自動車台帳'!$AP47,0)</f>
        <v>#N/A</v>
      </c>
      <c r="I46" s="149" t="e">
        <f ca="1">OFFSET('自動車台帳'!K47,'自動車台帳'!$AP47,0)</f>
        <v>#N/A</v>
      </c>
      <c r="J46" s="151" t="e">
        <f ca="1">OFFSET('自動車台帳'!L47,'自動車台帳'!$AP47,0)</f>
        <v>#N/A</v>
      </c>
      <c r="K46" s="152" t="e">
        <f ca="1">OFFSET('自動車台帳'!M47,'自動車台帳'!$AP47,0)</f>
        <v>#N/A</v>
      </c>
      <c r="L46" s="152" t="e">
        <f ca="1">OFFSET('自動車台帳'!N47,'自動車台帳'!$AP47,0)</f>
        <v>#N/A</v>
      </c>
      <c r="M46" s="148" t="e">
        <f ca="1">OFFSET('自動車台帳'!AB47,'自動車台帳'!$AP47,0)</f>
        <v>#N/A</v>
      </c>
      <c r="N46" s="148" t="e">
        <f ca="1">OFFSET('自動車台帳'!AC47,'自動車台帳'!$AP47,0)</f>
        <v>#N/A</v>
      </c>
      <c r="O46" s="153" t="e">
        <f ca="1">OFFSET('自動車台帳'!AD47,'自動車台帳'!$AP47,0)</f>
        <v>#N/A</v>
      </c>
      <c r="P46" s="154" t="e">
        <f ca="1">OFFSET('自動車台帳'!AE47,'自動車台帳'!$AP47,0)</f>
        <v>#N/A</v>
      </c>
      <c r="Q46" s="154" t="e">
        <f ca="1">OFFSET('自動車台帳'!AF47,'自動車台帳'!$AP47,0)</f>
        <v>#N/A</v>
      </c>
    </row>
    <row r="47" spans="1:17" ht="13.5">
      <c r="A47" s="148" t="e">
        <f ca="1">OFFSET('自動車台帳'!C48,'自動車台帳'!$AP48,0)</f>
        <v>#N/A</v>
      </c>
      <c r="B47" s="148" t="e">
        <f ca="1">OFFSET('自動車台帳'!D48,'自動車台帳'!$AP48,0)</f>
        <v>#N/A</v>
      </c>
      <c r="C47" s="148" t="e">
        <f ca="1">OFFSET('自動車台帳'!E48,'自動車台帳'!$AP48,0)</f>
        <v>#N/A</v>
      </c>
      <c r="D47" s="148" t="e">
        <f ca="1">OFFSET('自動車台帳'!F48,'自動車台帳'!$AP48,0)</f>
        <v>#N/A</v>
      </c>
      <c r="E47" s="149" t="e">
        <f ca="1">OFFSET('自動車台帳'!G48,'自動車台帳'!$AP48,0)</f>
        <v>#N/A</v>
      </c>
      <c r="F47" s="150" t="e">
        <f ca="1">OFFSET('自動車台帳'!H48,'自動車台帳'!$AP48,0)</f>
        <v>#N/A</v>
      </c>
      <c r="G47" s="148" t="e">
        <f ca="1">OFFSET('自動車台帳'!I48,'自動車台帳'!$AP48,0)</f>
        <v>#N/A</v>
      </c>
      <c r="H47" s="148" t="e">
        <f ca="1">OFFSET('自動車台帳'!J48,'自動車台帳'!$AP48,0)</f>
        <v>#N/A</v>
      </c>
      <c r="I47" s="149" t="e">
        <f ca="1">OFFSET('自動車台帳'!K48,'自動車台帳'!$AP48,0)</f>
        <v>#N/A</v>
      </c>
      <c r="J47" s="151" t="e">
        <f ca="1">OFFSET('自動車台帳'!L48,'自動車台帳'!$AP48,0)</f>
        <v>#N/A</v>
      </c>
      <c r="K47" s="152" t="e">
        <f ca="1">OFFSET('自動車台帳'!M48,'自動車台帳'!$AP48,0)</f>
        <v>#N/A</v>
      </c>
      <c r="L47" s="152" t="e">
        <f ca="1">OFFSET('自動車台帳'!N48,'自動車台帳'!$AP48,0)</f>
        <v>#N/A</v>
      </c>
      <c r="M47" s="148" t="e">
        <f ca="1">OFFSET('自動車台帳'!AB48,'自動車台帳'!$AP48,0)</f>
        <v>#N/A</v>
      </c>
      <c r="N47" s="148" t="e">
        <f ca="1">OFFSET('自動車台帳'!AC48,'自動車台帳'!$AP48,0)</f>
        <v>#N/A</v>
      </c>
      <c r="O47" s="153" t="e">
        <f ca="1">OFFSET('自動車台帳'!AD48,'自動車台帳'!$AP48,0)</f>
        <v>#N/A</v>
      </c>
      <c r="P47" s="154" t="e">
        <f ca="1">OFFSET('自動車台帳'!AE48,'自動車台帳'!$AP48,0)</f>
        <v>#N/A</v>
      </c>
      <c r="Q47" s="154" t="e">
        <f ca="1">OFFSET('自動車台帳'!AF48,'自動車台帳'!$AP48,0)</f>
        <v>#N/A</v>
      </c>
    </row>
    <row r="48" spans="1:17" ht="13.5">
      <c r="A48" s="148" t="e">
        <f ca="1">OFFSET('自動車台帳'!C49,'自動車台帳'!$AP49,0)</f>
        <v>#N/A</v>
      </c>
      <c r="B48" s="148" t="e">
        <f ca="1">OFFSET('自動車台帳'!D49,'自動車台帳'!$AP49,0)</f>
        <v>#N/A</v>
      </c>
      <c r="C48" s="148" t="e">
        <f ca="1">OFFSET('自動車台帳'!E49,'自動車台帳'!$AP49,0)</f>
        <v>#N/A</v>
      </c>
      <c r="D48" s="148" t="e">
        <f ca="1">OFFSET('自動車台帳'!F49,'自動車台帳'!$AP49,0)</f>
        <v>#N/A</v>
      </c>
      <c r="E48" s="149" t="e">
        <f ca="1">OFFSET('自動車台帳'!G49,'自動車台帳'!$AP49,0)</f>
        <v>#N/A</v>
      </c>
      <c r="F48" s="150" t="e">
        <f ca="1">OFFSET('自動車台帳'!H49,'自動車台帳'!$AP49,0)</f>
        <v>#N/A</v>
      </c>
      <c r="G48" s="148" t="e">
        <f ca="1">OFFSET('自動車台帳'!I49,'自動車台帳'!$AP49,0)</f>
        <v>#N/A</v>
      </c>
      <c r="H48" s="148" t="e">
        <f ca="1">OFFSET('自動車台帳'!J49,'自動車台帳'!$AP49,0)</f>
        <v>#N/A</v>
      </c>
      <c r="I48" s="149" t="e">
        <f ca="1">OFFSET('自動車台帳'!K49,'自動車台帳'!$AP49,0)</f>
        <v>#N/A</v>
      </c>
      <c r="J48" s="151" t="e">
        <f ca="1">OFFSET('自動車台帳'!L49,'自動車台帳'!$AP49,0)</f>
        <v>#N/A</v>
      </c>
      <c r="K48" s="152" t="e">
        <f ca="1">OFFSET('自動車台帳'!M49,'自動車台帳'!$AP49,0)</f>
        <v>#N/A</v>
      </c>
      <c r="L48" s="152" t="e">
        <f ca="1">OFFSET('自動車台帳'!N49,'自動車台帳'!$AP49,0)</f>
        <v>#N/A</v>
      </c>
      <c r="M48" s="148" t="e">
        <f ca="1">OFFSET('自動車台帳'!AB49,'自動車台帳'!$AP49,0)</f>
        <v>#N/A</v>
      </c>
      <c r="N48" s="148" t="e">
        <f ca="1">OFFSET('自動車台帳'!AC49,'自動車台帳'!$AP49,0)</f>
        <v>#N/A</v>
      </c>
      <c r="O48" s="153" t="e">
        <f ca="1">OFFSET('自動車台帳'!AD49,'自動車台帳'!$AP49,0)</f>
        <v>#N/A</v>
      </c>
      <c r="P48" s="154" t="e">
        <f ca="1">OFFSET('自動車台帳'!AE49,'自動車台帳'!$AP49,0)</f>
        <v>#N/A</v>
      </c>
      <c r="Q48" s="154" t="e">
        <f ca="1">OFFSET('自動車台帳'!AF49,'自動車台帳'!$AP49,0)</f>
        <v>#N/A</v>
      </c>
    </row>
    <row r="49" spans="1:17" ht="13.5">
      <c r="A49" s="148" t="e">
        <f ca="1">OFFSET('自動車台帳'!C50,'自動車台帳'!$AP50,0)</f>
        <v>#N/A</v>
      </c>
      <c r="B49" s="148" t="e">
        <f ca="1">OFFSET('自動車台帳'!D50,'自動車台帳'!$AP50,0)</f>
        <v>#N/A</v>
      </c>
      <c r="C49" s="148" t="e">
        <f ca="1">OFFSET('自動車台帳'!E50,'自動車台帳'!$AP50,0)</f>
        <v>#N/A</v>
      </c>
      <c r="D49" s="148" t="e">
        <f ca="1">OFFSET('自動車台帳'!F50,'自動車台帳'!$AP50,0)</f>
        <v>#N/A</v>
      </c>
      <c r="E49" s="149" t="e">
        <f ca="1">OFFSET('自動車台帳'!G50,'自動車台帳'!$AP50,0)</f>
        <v>#N/A</v>
      </c>
      <c r="F49" s="150" t="e">
        <f ca="1">OFFSET('自動車台帳'!H50,'自動車台帳'!$AP50,0)</f>
        <v>#N/A</v>
      </c>
      <c r="G49" s="148" t="e">
        <f ca="1">OFFSET('自動車台帳'!I50,'自動車台帳'!$AP50,0)</f>
        <v>#N/A</v>
      </c>
      <c r="H49" s="148" t="e">
        <f ca="1">OFFSET('自動車台帳'!J50,'自動車台帳'!$AP50,0)</f>
        <v>#N/A</v>
      </c>
      <c r="I49" s="149" t="e">
        <f ca="1">OFFSET('自動車台帳'!K50,'自動車台帳'!$AP50,0)</f>
        <v>#N/A</v>
      </c>
      <c r="J49" s="151" t="e">
        <f ca="1">OFFSET('自動車台帳'!L50,'自動車台帳'!$AP50,0)</f>
        <v>#N/A</v>
      </c>
      <c r="K49" s="152" t="e">
        <f ca="1">OFFSET('自動車台帳'!M50,'自動車台帳'!$AP50,0)</f>
        <v>#N/A</v>
      </c>
      <c r="L49" s="152" t="e">
        <f ca="1">OFFSET('自動車台帳'!N50,'自動車台帳'!$AP50,0)</f>
        <v>#N/A</v>
      </c>
      <c r="M49" s="148" t="e">
        <f ca="1">OFFSET('自動車台帳'!AB50,'自動車台帳'!$AP50,0)</f>
        <v>#N/A</v>
      </c>
      <c r="N49" s="148" t="e">
        <f ca="1">OFFSET('自動車台帳'!AC50,'自動車台帳'!$AP50,0)</f>
        <v>#N/A</v>
      </c>
      <c r="O49" s="153" t="e">
        <f ca="1">OFFSET('自動車台帳'!AD50,'自動車台帳'!$AP50,0)</f>
        <v>#N/A</v>
      </c>
      <c r="P49" s="154" t="e">
        <f ca="1">OFFSET('自動車台帳'!AE50,'自動車台帳'!$AP50,0)</f>
        <v>#N/A</v>
      </c>
      <c r="Q49" s="154" t="e">
        <f ca="1">OFFSET('自動車台帳'!AF50,'自動車台帳'!$AP50,0)</f>
        <v>#N/A</v>
      </c>
    </row>
    <row r="50" spans="1:17" ht="13.5">
      <c r="A50" s="148" t="e">
        <f ca="1">OFFSET('自動車台帳'!C51,'自動車台帳'!$AP51,0)</f>
        <v>#N/A</v>
      </c>
      <c r="B50" s="148" t="e">
        <f ca="1">OFFSET('自動車台帳'!D51,'自動車台帳'!$AP51,0)</f>
        <v>#N/A</v>
      </c>
      <c r="C50" s="148" t="e">
        <f ca="1">OFFSET('自動車台帳'!E51,'自動車台帳'!$AP51,0)</f>
        <v>#N/A</v>
      </c>
      <c r="D50" s="148" t="e">
        <f ca="1">OFFSET('自動車台帳'!F51,'自動車台帳'!$AP51,0)</f>
        <v>#N/A</v>
      </c>
      <c r="E50" s="149" t="e">
        <f ca="1">OFFSET('自動車台帳'!G51,'自動車台帳'!$AP51,0)</f>
        <v>#N/A</v>
      </c>
      <c r="F50" s="150" t="e">
        <f ca="1">OFFSET('自動車台帳'!H51,'自動車台帳'!$AP51,0)</f>
        <v>#N/A</v>
      </c>
      <c r="G50" s="148" t="e">
        <f ca="1">OFFSET('自動車台帳'!I51,'自動車台帳'!$AP51,0)</f>
        <v>#N/A</v>
      </c>
      <c r="H50" s="148" t="e">
        <f ca="1">OFFSET('自動車台帳'!J51,'自動車台帳'!$AP51,0)</f>
        <v>#N/A</v>
      </c>
      <c r="I50" s="149" t="e">
        <f ca="1">OFFSET('自動車台帳'!K51,'自動車台帳'!$AP51,0)</f>
        <v>#N/A</v>
      </c>
      <c r="J50" s="151" t="e">
        <f ca="1">OFFSET('自動車台帳'!L51,'自動車台帳'!$AP51,0)</f>
        <v>#N/A</v>
      </c>
      <c r="K50" s="152" t="e">
        <f ca="1">OFFSET('自動車台帳'!M51,'自動車台帳'!$AP51,0)</f>
        <v>#N/A</v>
      </c>
      <c r="L50" s="152" t="e">
        <f ca="1">OFFSET('自動車台帳'!N51,'自動車台帳'!$AP51,0)</f>
        <v>#N/A</v>
      </c>
      <c r="M50" s="148" t="e">
        <f ca="1">OFFSET('自動車台帳'!AB51,'自動車台帳'!$AP51,0)</f>
        <v>#N/A</v>
      </c>
      <c r="N50" s="148" t="e">
        <f ca="1">OFFSET('自動車台帳'!AC51,'自動車台帳'!$AP51,0)</f>
        <v>#N/A</v>
      </c>
      <c r="O50" s="153" t="e">
        <f ca="1">OFFSET('自動車台帳'!AD51,'自動車台帳'!$AP51,0)</f>
        <v>#N/A</v>
      </c>
      <c r="P50" s="154" t="e">
        <f ca="1">OFFSET('自動車台帳'!AE51,'自動車台帳'!$AP51,0)</f>
        <v>#N/A</v>
      </c>
      <c r="Q50" s="154" t="e">
        <f ca="1">OFFSET('自動車台帳'!AF51,'自動車台帳'!$AP51,0)</f>
        <v>#N/A</v>
      </c>
    </row>
    <row r="51" spans="1:17" ht="13.5">
      <c r="A51" s="148" t="e">
        <f ca="1">OFFSET('自動車台帳'!C52,'自動車台帳'!$AP52,0)</f>
        <v>#N/A</v>
      </c>
      <c r="B51" s="148" t="e">
        <f ca="1">OFFSET('自動車台帳'!D52,'自動車台帳'!$AP52,0)</f>
        <v>#N/A</v>
      </c>
      <c r="C51" s="148" t="e">
        <f ca="1">OFFSET('自動車台帳'!E52,'自動車台帳'!$AP52,0)</f>
        <v>#N/A</v>
      </c>
      <c r="D51" s="148" t="e">
        <f ca="1">OFFSET('自動車台帳'!F52,'自動車台帳'!$AP52,0)</f>
        <v>#N/A</v>
      </c>
      <c r="E51" s="149" t="e">
        <f ca="1">OFFSET('自動車台帳'!G52,'自動車台帳'!$AP52,0)</f>
        <v>#N/A</v>
      </c>
      <c r="F51" s="150" t="e">
        <f ca="1">OFFSET('自動車台帳'!H52,'自動車台帳'!$AP52,0)</f>
        <v>#N/A</v>
      </c>
      <c r="G51" s="148" t="e">
        <f ca="1">OFFSET('自動車台帳'!I52,'自動車台帳'!$AP52,0)</f>
        <v>#N/A</v>
      </c>
      <c r="H51" s="148" t="e">
        <f ca="1">OFFSET('自動車台帳'!J52,'自動車台帳'!$AP52,0)</f>
        <v>#N/A</v>
      </c>
      <c r="I51" s="149" t="e">
        <f ca="1">OFFSET('自動車台帳'!K52,'自動車台帳'!$AP52,0)</f>
        <v>#N/A</v>
      </c>
      <c r="J51" s="151" t="e">
        <f ca="1">OFFSET('自動車台帳'!L52,'自動車台帳'!$AP52,0)</f>
        <v>#N/A</v>
      </c>
      <c r="K51" s="152" t="e">
        <f ca="1">OFFSET('自動車台帳'!M52,'自動車台帳'!$AP52,0)</f>
        <v>#N/A</v>
      </c>
      <c r="L51" s="152" t="e">
        <f ca="1">OFFSET('自動車台帳'!N52,'自動車台帳'!$AP52,0)</f>
        <v>#N/A</v>
      </c>
      <c r="M51" s="148" t="e">
        <f ca="1">OFFSET('自動車台帳'!AB52,'自動車台帳'!$AP52,0)</f>
        <v>#N/A</v>
      </c>
      <c r="N51" s="148" t="e">
        <f ca="1">OFFSET('自動車台帳'!AC52,'自動車台帳'!$AP52,0)</f>
        <v>#N/A</v>
      </c>
      <c r="O51" s="153" t="e">
        <f ca="1">OFFSET('自動車台帳'!AD52,'自動車台帳'!$AP52,0)</f>
        <v>#N/A</v>
      </c>
      <c r="P51" s="154" t="e">
        <f ca="1">OFFSET('自動車台帳'!AE52,'自動車台帳'!$AP52,0)</f>
        <v>#N/A</v>
      </c>
      <c r="Q51" s="154" t="e">
        <f ca="1">OFFSET('自動車台帳'!AF52,'自動車台帳'!$AP52,0)</f>
        <v>#N/A</v>
      </c>
    </row>
    <row r="52" spans="1:17" ht="13.5">
      <c r="A52" s="148" t="e">
        <f ca="1">OFFSET('自動車台帳'!C53,'自動車台帳'!$AP53,0)</f>
        <v>#N/A</v>
      </c>
      <c r="B52" s="148" t="e">
        <f ca="1">OFFSET('自動車台帳'!D53,'自動車台帳'!$AP53,0)</f>
        <v>#N/A</v>
      </c>
      <c r="C52" s="148" t="e">
        <f ca="1">OFFSET('自動車台帳'!E53,'自動車台帳'!$AP53,0)</f>
        <v>#N/A</v>
      </c>
      <c r="D52" s="148" t="e">
        <f ca="1">OFFSET('自動車台帳'!F53,'自動車台帳'!$AP53,0)</f>
        <v>#N/A</v>
      </c>
      <c r="E52" s="149" t="e">
        <f ca="1">OFFSET('自動車台帳'!G53,'自動車台帳'!$AP53,0)</f>
        <v>#N/A</v>
      </c>
      <c r="F52" s="150" t="e">
        <f ca="1">OFFSET('自動車台帳'!H53,'自動車台帳'!$AP53,0)</f>
        <v>#N/A</v>
      </c>
      <c r="G52" s="148" t="e">
        <f ca="1">OFFSET('自動車台帳'!I53,'自動車台帳'!$AP53,0)</f>
        <v>#N/A</v>
      </c>
      <c r="H52" s="148" t="e">
        <f ca="1">OFFSET('自動車台帳'!J53,'自動車台帳'!$AP53,0)</f>
        <v>#N/A</v>
      </c>
      <c r="I52" s="149" t="e">
        <f ca="1">OFFSET('自動車台帳'!K53,'自動車台帳'!$AP53,0)</f>
        <v>#N/A</v>
      </c>
      <c r="J52" s="151" t="e">
        <f ca="1">OFFSET('自動車台帳'!L53,'自動車台帳'!$AP53,0)</f>
        <v>#N/A</v>
      </c>
      <c r="K52" s="152" t="e">
        <f ca="1">OFFSET('自動車台帳'!M53,'自動車台帳'!$AP53,0)</f>
        <v>#N/A</v>
      </c>
      <c r="L52" s="152" t="e">
        <f ca="1">OFFSET('自動車台帳'!N53,'自動車台帳'!$AP53,0)</f>
        <v>#N/A</v>
      </c>
      <c r="M52" s="148" t="e">
        <f ca="1">OFFSET('自動車台帳'!AB53,'自動車台帳'!$AP53,0)</f>
        <v>#N/A</v>
      </c>
      <c r="N52" s="148" t="e">
        <f ca="1">OFFSET('自動車台帳'!AC53,'自動車台帳'!$AP53,0)</f>
        <v>#N/A</v>
      </c>
      <c r="O52" s="153" t="e">
        <f ca="1">OFFSET('自動車台帳'!AD53,'自動車台帳'!$AP53,0)</f>
        <v>#N/A</v>
      </c>
      <c r="P52" s="154" t="e">
        <f ca="1">OFFSET('自動車台帳'!AE53,'自動車台帳'!$AP53,0)</f>
        <v>#N/A</v>
      </c>
      <c r="Q52" s="154" t="e">
        <f ca="1">OFFSET('自動車台帳'!AF53,'自動車台帳'!$AP53,0)</f>
        <v>#N/A</v>
      </c>
    </row>
    <row r="53" spans="1:17" ht="13.5">
      <c r="A53" s="148" t="e">
        <f ca="1">OFFSET('自動車台帳'!C54,'自動車台帳'!$AP54,0)</f>
        <v>#N/A</v>
      </c>
      <c r="B53" s="148" t="e">
        <f ca="1">OFFSET('自動車台帳'!D54,'自動車台帳'!$AP54,0)</f>
        <v>#N/A</v>
      </c>
      <c r="C53" s="148" t="e">
        <f ca="1">OFFSET('自動車台帳'!E54,'自動車台帳'!$AP54,0)</f>
        <v>#N/A</v>
      </c>
      <c r="D53" s="148" t="e">
        <f ca="1">OFFSET('自動車台帳'!F54,'自動車台帳'!$AP54,0)</f>
        <v>#N/A</v>
      </c>
      <c r="E53" s="149" t="e">
        <f ca="1">OFFSET('自動車台帳'!G54,'自動車台帳'!$AP54,0)</f>
        <v>#N/A</v>
      </c>
      <c r="F53" s="150" t="e">
        <f ca="1">OFFSET('自動車台帳'!H54,'自動車台帳'!$AP54,0)</f>
        <v>#N/A</v>
      </c>
      <c r="G53" s="148" t="e">
        <f ca="1">OFFSET('自動車台帳'!I54,'自動車台帳'!$AP54,0)</f>
        <v>#N/A</v>
      </c>
      <c r="H53" s="148" t="e">
        <f ca="1">OFFSET('自動車台帳'!J54,'自動車台帳'!$AP54,0)</f>
        <v>#N/A</v>
      </c>
      <c r="I53" s="149" t="e">
        <f ca="1">OFFSET('自動車台帳'!K54,'自動車台帳'!$AP54,0)</f>
        <v>#N/A</v>
      </c>
      <c r="J53" s="151" t="e">
        <f ca="1">OFFSET('自動車台帳'!L54,'自動車台帳'!$AP54,0)</f>
        <v>#N/A</v>
      </c>
      <c r="K53" s="152" t="e">
        <f ca="1">OFFSET('自動車台帳'!M54,'自動車台帳'!$AP54,0)</f>
        <v>#N/A</v>
      </c>
      <c r="L53" s="152" t="e">
        <f ca="1">OFFSET('自動車台帳'!N54,'自動車台帳'!$AP54,0)</f>
        <v>#N/A</v>
      </c>
      <c r="M53" s="148" t="e">
        <f ca="1">OFFSET('自動車台帳'!AB54,'自動車台帳'!$AP54,0)</f>
        <v>#N/A</v>
      </c>
      <c r="N53" s="148" t="e">
        <f ca="1">OFFSET('自動車台帳'!AC54,'自動車台帳'!$AP54,0)</f>
        <v>#N/A</v>
      </c>
      <c r="O53" s="153" t="e">
        <f ca="1">OFFSET('自動車台帳'!AD54,'自動車台帳'!$AP54,0)</f>
        <v>#N/A</v>
      </c>
      <c r="P53" s="154" t="e">
        <f ca="1">OFFSET('自動車台帳'!AE54,'自動車台帳'!$AP54,0)</f>
        <v>#N/A</v>
      </c>
      <c r="Q53" s="154" t="e">
        <f ca="1">OFFSET('自動車台帳'!AF54,'自動車台帳'!$AP54,0)</f>
        <v>#N/A</v>
      </c>
    </row>
    <row r="54" spans="1:17" ht="13.5">
      <c r="A54" s="148" t="e">
        <f ca="1">OFFSET('自動車台帳'!C55,'自動車台帳'!$AP55,0)</f>
        <v>#N/A</v>
      </c>
      <c r="B54" s="148" t="e">
        <f ca="1">OFFSET('自動車台帳'!D55,'自動車台帳'!$AP55,0)</f>
        <v>#N/A</v>
      </c>
      <c r="C54" s="148" t="e">
        <f ca="1">OFFSET('自動車台帳'!E55,'自動車台帳'!$AP55,0)</f>
        <v>#N/A</v>
      </c>
      <c r="D54" s="148" t="e">
        <f ca="1">OFFSET('自動車台帳'!F55,'自動車台帳'!$AP55,0)</f>
        <v>#N/A</v>
      </c>
      <c r="E54" s="149" t="e">
        <f ca="1">OFFSET('自動車台帳'!G55,'自動車台帳'!$AP55,0)</f>
        <v>#N/A</v>
      </c>
      <c r="F54" s="150" t="e">
        <f ca="1">OFFSET('自動車台帳'!H55,'自動車台帳'!$AP55,0)</f>
        <v>#N/A</v>
      </c>
      <c r="G54" s="148" t="e">
        <f ca="1">OFFSET('自動車台帳'!I55,'自動車台帳'!$AP55,0)</f>
        <v>#N/A</v>
      </c>
      <c r="H54" s="148" t="e">
        <f ca="1">OFFSET('自動車台帳'!J55,'自動車台帳'!$AP55,0)</f>
        <v>#N/A</v>
      </c>
      <c r="I54" s="149" t="e">
        <f ca="1">OFFSET('自動車台帳'!K55,'自動車台帳'!$AP55,0)</f>
        <v>#N/A</v>
      </c>
      <c r="J54" s="151" t="e">
        <f ca="1">OFFSET('自動車台帳'!L55,'自動車台帳'!$AP55,0)</f>
        <v>#N/A</v>
      </c>
      <c r="K54" s="152" t="e">
        <f ca="1">OFFSET('自動車台帳'!M55,'自動車台帳'!$AP55,0)</f>
        <v>#N/A</v>
      </c>
      <c r="L54" s="152" t="e">
        <f ca="1">OFFSET('自動車台帳'!N55,'自動車台帳'!$AP55,0)</f>
        <v>#N/A</v>
      </c>
      <c r="M54" s="148" t="e">
        <f ca="1">OFFSET('自動車台帳'!AB55,'自動車台帳'!$AP55,0)</f>
        <v>#N/A</v>
      </c>
      <c r="N54" s="148" t="e">
        <f ca="1">OFFSET('自動車台帳'!AC55,'自動車台帳'!$AP55,0)</f>
        <v>#N/A</v>
      </c>
      <c r="O54" s="153" t="e">
        <f ca="1">OFFSET('自動車台帳'!AD55,'自動車台帳'!$AP55,0)</f>
        <v>#N/A</v>
      </c>
      <c r="P54" s="154" t="e">
        <f ca="1">OFFSET('自動車台帳'!AE55,'自動車台帳'!$AP55,0)</f>
        <v>#N/A</v>
      </c>
      <c r="Q54" s="154" t="e">
        <f ca="1">OFFSET('自動車台帳'!AF55,'自動車台帳'!$AP55,0)</f>
        <v>#N/A</v>
      </c>
    </row>
    <row r="55" spans="1:17" ht="13.5">
      <c r="A55" s="148" t="e">
        <f ca="1">OFFSET('自動車台帳'!C56,'自動車台帳'!$AP56,0)</f>
        <v>#N/A</v>
      </c>
      <c r="B55" s="148" t="e">
        <f ca="1">OFFSET('自動車台帳'!D56,'自動車台帳'!$AP56,0)</f>
        <v>#N/A</v>
      </c>
      <c r="C55" s="148" t="e">
        <f ca="1">OFFSET('自動車台帳'!E56,'自動車台帳'!$AP56,0)</f>
        <v>#N/A</v>
      </c>
      <c r="D55" s="148" t="e">
        <f ca="1">OFFSET('自動車台帳'!F56,'自動車台帳'!$AP56,0)</f>
        <v>#N/A</v>
      </c>
      <c r="E55" s="149" t="e">
        <f ca="1">OFFSET('自動車台帳'!G56,'自動車台帳'!$AP56,0)</f>
        <v>#N/A</v>
      </c>
      <c r="F55" s="150" t="e">
        <f ca="1">OFFSET('自動車台帳'!H56,'自動車台帳'!$AP56,0)</f>
        <v>#N/A</v>
      </c>
      <c r="G55" s="148" t="e">
        <f ca="1">OFFSET('自動車台帳'!I56,'自動車台帳'!$AP56,0)</f>
        <v>#N/A</v>
      </c>
      <c r="H55" s="148" t="e">
        <f ca="1">OFFSET('自動車台帳'!J56,'自動車台帳'!$AP56,0)</f>
        <v>#N/A</v>
      </c>
      <c r="I55" s="149" t="e">
        <f ca="1">OFFSET('自動車台帳'!K56,'自動車台帳'!$AP56,0)</f>
        <v>#N/A</v>
      </c>
      <c r="J55" s="151" t="e">
        <f ca="1">OFFSET('自動車台帳'!L56,'自動車台帳'!$AP56,0)</f>
        <v>#N/A</v>
      </c>
      <c r="K55" s="152" t="e">
        <f ca="1">OFFSET('自動車台帳'!M56,'自動車台帳'!$AP56,0)</f>
        <v>#N/A</v>
      </c>
      <c r="L55" s="152" t="e">
        <f ca="1">OFFSET('自動車台帳'!N56,'自動車台帳'!$AP56,0)</f>
        <v>#N/A</v>
      </c>
      <c r="M55" s="148" t="e">
        <f ca="1">OFFSET('自動車台帳'!AB56,'自動車台帳'!$AP56,0)</f>
        <v>#N/A</v>
      </c>
      <c r="N55" s="148" t="e">
        <f ca="1">OFFSET('自動車台帳'!AC56,'自動車台帳'!$AP56,0)</f>
        <v>#N/A</v>
      </c>
      <c r="O55" s="153" t="e">
        <f ca="1">OFFSET('自動車台帳'!AD56,'自動車台帳'!$AP56,0)</f>
        <v>#N/A</v>
      </c>
      <c r="P55" s="154" t="e">
        <f ca="1">OFFSET('自動車台帳'!AE56,'自動車台帳'!$AP56,0)</f>
        <v>#N/A</v>
      </c>
      <c r="Q55" s="154" t="e">
        <f ca="1">OFFSET('自動車台帳'!AF56,'自動車台帳'!$AP56,0)</f>
        <v>#N/A</v>
      </c>
    </row>
    <row r="56" spans="1:17" ht="13.5">
      <c r="A56" s="148" t="e">
        <f ca="1">OFFSET('自動車台帳'!C57,'自動車台帳'!$AP57,0)</f>
        <v>#N/A</v>
      </c>
      <c r="B56" s="148" t="e">
        <f ca="1">OFFSET('自動車台帳'!D57,'自動車台帳'!$AP57,0)</f>
        <v>#N/A</v>
      </c>
      <c r="C56" s="148" t="e">
        <f ca="1">OFFSET('自動車台帳'!E57,'自動車台帳'!$AP57,0)</f>
        <v>#N/A</v>
      </c>
      <c r="D56" s="148" t="e">
        <f ca="1">OFFSET('自動車台帳'!F57,'自動車台帳'!$AP57,0)</f>
        <v>#N/A</v>
      </c>
      <c r="E56" s="149" t="e">
        <f ca="1">OFFSET('自動車台帳'!G57,'自動車台帳'!$AP57,0)</f>
        <v>#N/A</v>
      </c>
      <c r="F56" s="150" t="e">
        <f ca="1">OFFSET('自動車台帳'!H57,'自動車台帳'!$AP57,0)</f>
        <v>#N/A</v>
      </c>
      <c r="G56" s="148" t="e">
        <f ca="1">OFFSET('自動車台帳'!I57,'自動車台帳'!$AP57,0)</f>
        <v>#N/A</v>
      </c>
      <c r="H56" s="148" t="e">
        <f ca="1">OFFSET('自動車台帳'!J57,'自動車台帳'!$AP57,0)</f>
        <v>#N/A</v>
      </c>
      <c r="I56" s="149" t="e">
        <f ca="1">OFFSET('自動車台帳'!K57,'自動車台帳'!$AP57,0)</f>
        <v>#N/A</v>
      </c>
      <c r="J56" s="151" t="e">
        <f ca="1">OFFSET('自動車台帳'!L57,'自動車台帳'!$AP57,0)</f>
        <v>#N/A</v>
      </c>
      <c r="K56" s="152" t="e">
        <f ca="1">OFFSET('自動車台帳'!M57,'自動車台帳'!$AP57,0)</f>
        <v>#N/A</v>
      </c>
      <c r="L56" s="152" t="e">
        <f ca="1">OFFSET('自動車台帳'!N57,'自動車台帳'!$AP57,0)</f>
        <v>#N/A</v>
      </c>
      <c r="M56" s="148" t="e">
        <f ca="1">OFFSET('自動車台帳'!AB57,'自動車台帳'!$AP57,0)</f>
        <v>#N/A</v>
      </c>
      <c r="N56" s="148" t="e">
        <f ca="1">OFFSET('自動車台帳'!AC57,'自動車台帳'!$AP57,0)</f>
        <v>#N/A</v>
      </c>
      <c r="O56" s="153" t="e">
        <f ca="1">OFFSET('自動車台帳'!AD57,'自動車台帳'!$AP57,0)</f>
        <v>#N/A</v>
      </c>
      <c r="P56" s="154" t="e">
        <f ca="1">OFFSET('自動車台帳'!AE57,'自動車台帳'!$AP57,0)</f>
        <v>#N/A</v>
      </c>
      <c r="Q56" s="154" t="e">
        <f ca="1">OFFSET('自動車台帳'!AF57,'自動車台帳'!$AP57,0)</f>
        <v>#N/A</v>
      </c>
    </row>
    <row r="57" spans="1:17" ht="13.5">
      <c r="A57" s="148" t="e">
        <f ca="1">OFFSET('自動車台帳'!C58,'自動車台帳'!$AP58,0)</f>
        <v>#N/A</v>
      </c>
      <c r="B57" s="148" t="e">
        <f ca="1">OFFSET('自動車台帳'!D58,'自動車台帳'!$AP58,0)</f>
        <v>#N/A</v>
      </c>
      <c r="C57" s="148" t="e">
        <f ca="1">OFFSET('自動車台帳'!E58,'自動車台帳'!$AP58,0)</f>
        <v>#N/A</v>
      </c>
      <c r="D57" s="148" t="e">
        <f ca="1">OFFSET('自動車台帳'!F58,'自動車台帳'!$AP58,0)</f>
        <v>#N/A</v>
      </c>
      <c r="E57" s="149" t="e">
        <f ca="1">OFFSET('自動車台帳'!G58,'自動車台帳'!$AP58,0)</f>
        <v>#N/A</v>
      </c>
      <c r="F57" s="150" t="e">
        <f ca="1">OFFSET('自動車台帳'!H58,'自動車台帳'!$AP58,0)</f>
        <v>#N/A</v>
      </c>
      <c r="G57" s="148" t="e">
        <f ca="1">OFFSET('自動車台帳'!I58,'自動車台帳'!$AP58,0)</f>
        <v>#N/A</v>
      </c>
      <c r="H57" s="148" t="e">
        <f ca="1">OFFSET('自動車台帳'!J58,'自動車台帳'!$AP58,0)</f>
        <v>#N/A</v>
      </c>
      <c r="I57" s="149" t="e">
        <f ca="1">OFFSET('自動車台帳'!K58,'自動車台帳'!$AP58,0)</f>
        <v>#N/A</v>
      </c>
      <c r="J57" s="151" t="e">
        <f ca="1">OFFSET('自動車台帳'!L58,'自動車台帳'!$AP58,0)</f>
        <v>#N/A</v>
      </c>
      <c r="K57" s="152" t="e">
        <f ca="1">OFFSET('自動車台帳'!M58,'自動車台帳'!$AP58,0)</f>
        <v>#N/A</v>
      </c>
      <c r="L57" s="152" t="e">
        <f ca="1">OFFSET('自動車台帳'!N58,'自動車台帳'!$AP58,0)</f>
        <v>#N/A</v>
      </c>
      <c r="M57" s="148" t="e">
        <f ca="1">OFFSET('自動車台帳'!AB58,'自動車台帳'!$AP58,0)</f>
        <v>#N/A</v>
      </c>
      <c r="N57" s="148" t="e">
        <f ca="1">OFFSET('自動車台帳'!AC58,'自動車台帳'!$AP58,0)</f>
        <v>#N/A</v>
      </c>
      <c r="O57" s="153" t="e">
        <f ca="1">OFFSET('自動車台帳'!AD58,'自動車台帳'!$AP58,0)</f>
        <v>#N/A</v>
      </c>
      <c r="P57" s="154" t="e">
        <f ca="1">OFFSET('自動車台帳'!AE58,'自動車台帳'!$AP58,0)</f>
        <v>#N/A</v>
      </c>
      <c r="Q57" s="154" t="e">
        <f ca="1">OFFSET('自動車台帳'!AF58,'自動車台帳'!$AP58,0)</f>
        <v>#N/A</v>
      </c>
    </row>
    <row r="58" spans="1:17" ht="13.5">
      <c r="A58" s="148" t="e">
        <f ca="1">OFFSET('自動車台帳'!C59,'自動車台帳'!$AP59,0)</f>
        <v>#N/A</v>
      </c>
      <c r="B58" s="148" t="e">
        <f ca="1">OFFSET('自動車台帳'!D59,'自動車台帳'!$AP59,0)</f>
        <v>#N/A</v>
      </c>
      <c r="C58" s="148" t="e">
        <f ca="1">OFFSET('自動車台帳'!E59,'自動車台帳'!$AP59,0)</f>
        <v>#N/A</v>
      </c>
      <c r="D58" s="148" t="e">
        <f ca="1">OFFSET('自動車台帳'!F59,'自動車台帳'!$AP59,0)</f>
        <v>#N/A</v>
      </c>
      <c r="E58" s="149" t="e">
        <f ca="1">OFFSET('自動車台帳'!G59,'自動車台帳'!$AP59,0)</f>
        <v>#N/A</v>
      </c>
      <c r="F58" s="150" t="e">
        <f ca="1">OFFSET('自動車台帳'!H59,'自動車台帳'!$AP59,0)</f>
        <v>#N/A</v>
      </c>
      <c r="G58" s="148" t="e">
        <f ca="1">OFFSET('自動車台帳'!I59,'自動車台帳'!$AP59,0)</f>
        <v>#N/A</v>
      </c>
      <c r="H58" s="148" t="e">
        <f ca="1">OFFSET('自動車台帳'!J59,'自動車台帳'!$AP59,0)</f>
        <v>#N/A</v>
      </c>
      <c r="I58" s="149" t="e">
        <f ca="1">OFFSET('自動車台帳'!K59,'自動車台帳'!$AP59,0)</f>
        <v>#N/A</v>
      </c>
      <c r="J58" s="151" t="e">
        <f ca="1">OFFSET('自動車台帳'!L59,'自動車台帳'!$AP59,0)</f>
        <v>#N/A</v>
      </c>
      <c r="K58" s="152" t="e">
        <f ca="1">OFFSET('自動車台帳'!M59,'自動車台帳'!$AP59,0)</f>
        <v>#N/A</v>
      </c>
      <c r="L58" s="152" t="e">
        <f ca="1">OFFSET('自動車台帳'!N59,'自動車台帳'!$AP59,0)</f>
        <v>#N/A</v>
      </c>
      <c r="M58" s="148" t="e">
        <f ca="1">OFFSET('自動車台帳'!AB59,'自動車台帳'!$AP59,0)</f>
        <v>#N/A</v>
      </c>
      <c r="N58" s="148" t="e">
        <f ca="1">OFFSET('自動車台帳'!AC59,'自動車台帳'!$AP59,0)</f>
        <v>#N/A</v>
      </c>
      <c r="O58" s="153" t="e">
        <f ca="1">OFFSET('自動車台帳'!AD59,'自動車台帳'!$AP59,0)</f>
        <v>#N/A</v>
      </c>
      <c r="P58" s="154" t="e">
        <f ca="1">OFFSET('自動車台帳'!AE59,'自動車台帳'!$AP59,0)</f>
        <v>#N/A</v>
      </c>
      <c r="Q58" s="154" t="e">
        <f ca="1">OFFSET('自動車台帳'!AF59,'自動車台帳'!$AP59,0)</f>
        <v>#N/A</v>
      </c>
    </row>
    <row r="59" spans="1:17" ht="13.5">
      <c r="A59" s="148" t="e">
        <f ca="1">OFFSET('自動車台帳'!C60,'自動車台帳'!$AP60,0)</f>
        <v>#N/A</v>
      </c>
      <c r="B59" s="148" t="e">
        <f ca="1">OFFSET('自動車台帳'!D60,'自動車台帳'!$AP60,0)</f>
        <v>#N/A</v>
      </c>
      <c r="C59" s="148" t="e">
        <f ca="1">OFFSET('自動車台帳'!E60,'自動車台帳'!$AP60,0)</f>
        <v>#N/A</v>
      </c>
      <c r="D59" s="148" t="e">
        <f ca="1">OFFSET('自動車台帳'!F60,'自動車台帳'!$AP60,0)</f>
        <v>#N/A</v>
      </c>
      <c r="E59" s="149" t="e">
        <f ca="1">OFFSET('自動車台帳'!G60,'自動車台帳'!$AP60,0)</f>
        <v>#N/A</v>
      </c>
      <c r="F59" s="150" t="e">
        <f ca="1">OFFSET('自動車台帳'!H60,'自動車台帳'!$AP60,0)</f>
        <v>#N/A</v>
      </c>
      <c r="G59" s="148" t="e">
        <f ca="1">OFFSET('自動車台帳'!I60,'自動車台帳'!$AP60,0)</f>
        <v>#N/A</v>
      </c>
      <c r="H59" s="148" t="e">
        <f ca="1">OFFSET('自動車台帳'!J60,'自動車台帳'!$AP60,0)</f>
        <v>#N/A</v>
      </c>
      <c r="I59" s="149" t="e">
        <f ca="1">OFFSET('自動車台帳'!K60,'自動車台帳'!$AP60,0)</f>
        <v>#N/A</v>
      </c>
      <c r="J59" s="151" t="e">
        <f ca="1">OFFSET('自動車台帳'!L60,'自動車台帳'!$AP60,0)</f>
        <v>#N/A</v>
      </c>
      <c r="K59" s="152" t="e">
        <f ca="1">OFFSET('自動車台帳'!M60,'自動車台帳'!$AP60,0)</f>
        <v>#N/A</v>
      </c>
      <c r="L59" s="152" t="e">
        <f ca="1">OFFSET('自動車台帳'!N60,'自動車台帳'!$AP60,0)</f>
        <v>#N/A</v>
      </c>
      <c r="M59" s="148" t="e">
        <f ca="1">OFFSET('自動車台帳'!AB60,'自動車台帳'!$AP60,0)</f>
        <v>#N/A</v>
      </c>
      <c r="N59" s="148" t="e">
        <f ca="1">OFFSET('自動車台帳'!AC60,'自動車台帳'!$AP60,0)</f>
        <v>#N/A</v>
      </c>
      <c r="O59" s="153" t="e">
        <f ca="1">OFFSET('自動車台帳'!AD60,'自動車台帳'!$AP60,0)</f>
        <v>#N/A</v>
      </c>
      <c r="P59" s="154" t="e">
        <f ca="1">OFFSET('自動車台帳'!AE60,'自動車台帳'!$AP60,0)</f>
        <v>#N/A</v>
      </c>
      <c r="Q59" s="154" t="e">
        <f ca="1">OFFSET('自動車台帳'!AF60,'自動車台帳'!$AP60,0)</f>
        <v>#N/A</v>
      </c>
    </row>
    <row r="60" spans="1:17" ht="13.5">
      <c r="A60" s="148" t="e">
        <f ca="1">OFFSET('自動車台帳'!C61,'自動車台帳'!$AP61,0)</f>
        <v>#N/A</v>
      </c>
      <c r="B60" s="148" t="e">
        <f ca="1">OFFSET('自動車台帳'!D61,'自動車台帳'!$AP61,0)</f>
        <v>#N/A</v>
      </c>
      <c r="C60" s="148" t="e">
        <f ca="1">OFFSET('自動車台帳'!E61,'自動車台帳'!$AP61,0)</f>
        <v>#N/A</v>
      </c>
      <c r="D60" s="148" t="e">
        <f ca="1">OFFSET('自動車台帳'!F61,'自動車台帳'!$AP61,0)</f>
        <v>#N/A</v>
      </c>
      <c r="E60" s="149" t="e">
        <f ca="1">OFFSET('自動車台帳'!G61,'自動車台帳'!$AP61,0)</f>
        <v>#N/A</v>
      </c>
      <c r="F60" s="150" t="e">
        <f ca="1">OFFSET('自動車台帳'!H61,'自動車台帳'!$AP61,0)</f>
        <v>#N/A</v>
      </c>
      <c r="G60" s="148" t="e">
        <f ca="1">OFFSET('自動車台帳'!I61,'自動車台帳'!$AP61,0)</f>
        <v>#N/A</v>
      </c>
      <c r="H60" s="148" t="e">
        <f ca="1">OFFSET('自動車台帳'!J61,'自動車台帳'!$AP61,0)</f>
        <v>#N/A</v>
      </c>
      <c r="I60" s="149" t="e">
        <f ca="1">OFFSET('自動車台帳'!K61,'自動車台帳'!$AP61,0)</f>
        <v>#N/A</v>
      </c>
      <c r="J60" s="151" t="e">
        <f ca="1">OFFSET('自動車台帳'!L61,'自動車台帳'!$AP61,0)</f>
        <v>#N/A</v>
      </c>
      <c r="K60" s="152" t="e">
        <f ca="1">OFFSET('自動車台帳'!M61,'自動車台帳'!$AP61,0)</f>
        <v>#N/A</v>
      </c>
      <c r="L60" s="152" t="e">
        <f ca="1">OFFSET('自動車台帳'!N61,'自動車台帳'!$AP61,0)</f>
        <v>#N/A</v>
      </c>
      <c r="M60" s="148" t="e">
        <f ca="1">OFFSET('自動車台帳'!AB61,'自動車台帳'!$AP61,0)</f>
        <v>#N/A</v>
      </c>
      <c r="N60" s="148" t="e">
        <f ca="1">OFFSET('自動車台帳'!AC61,'自動車台帳'!$AP61,0)</f>
        <v>#N/A</v>
      </c>
      <c r="O60" s="153" t="e">
        <f ca="1">OFFSET('自動車台帳'!AD61,'自動車台帳'!$AP61,0)</f>
        <v>#N/A</v>
      </c>
      <c r="P60" s="154" t="e">
        <f ca="1">OFFSET('自動車台帳'!AE61,'自動車台帳'!$AP61,0)</f>
        <v>#N/A</v>
      </c>
      <c r="Q60" s="154" t="e">
        <f ca="1">OFFSET('自動車台帳'!AF61,'自動車台帳'!$AP61,0)</f>
        <v>#N/A</v>
      </c>
    </row>
    <row r="61" spans="1:17" ht="13.5">
      <c r="A61" s="148" t="e">
        <f ca="1">OFFSET('自動車台帳'!C62,'自動車台帳'!$AP62,0)</f>
        <v>#N/A</v>
      </c>
      <c r="B61" s="148" t="e">
        <f ca="1">OFFSET('自動車台帳'!D62,'自動車台帳'!$AP62,0)</f>
        <v>#N/A</v>
      </c>
      <c r="C61" s="148" t="e">
        <f ca="1">OFFSET('自動車台帳'!E62,'自動車台帳'!$AP62,0)</f>
        <v>#N/A</v>
      </c>
      <c r="D61" s="148" t="e">
        <f ca="1">OFFSET('自動車台帳'!F62,'自動車台帳'!$AP62,0)</f>
        <v>#N/A</v>
      </c>
      <c r="E61" s="149" t="e">
        <f ca="1">OFFSET('自動車台帳'!G62,'自動車台帳'!$AP62,0)</f>
        <v>#N/A</v>
      </c>
      <c r="F61" s="150" t="e">
        <f ca="1">OFFSET('自動車台帳'!H62,'自動車台帳'!$AP62,0)</f>
        <v>#N/A</v>
      </c>
      <c r="G61" s="148" t="e">
        <f ca="1">OFFSET('自動車台帳'!I62,'自動車台帳'!$AP62,0)</f>
        <v>#N/A</v>
      </c>
      <c r="H61" s="148" t="e">
        <f ca="1">OFFSET('自動車台帳'!J62,'自動車台帳'!$AP62,0)</f>
        <v>#N/A</v>
      </c>
      <c r="I61" s="149" t="e">
        <f ca="1">OFFSET('自動車台帳'!K62,'自動車台帳'!$AP62,0)</f>
        <v>#N/A</v>
      </c>
      <c r="J61" s="151" t="e">
        <f ca="1">OFFSET('自動車台帳'!L62,'自動車台帳'!$AP62,0)</f>
        <v>#N/A</v>
      </c>
      <c r="K61" s="152" t="e">
        <f ca="1">OFFSET('自動車台帳'!M62,'自動車台帳'!$AP62,0)</f>
        <v>#N/A</v>
      </c>
      <c r="L61" s="152" t="e">
        <f ca="1">OFFSET('自動車台帳'!N62,'自動車台帳'!$AP62,0)</f>
        <v>#N/A</v>
      </c>
      <c r="M61" s="148" t="e">
        <f ca="1">OFFSET('自動車台帳'!AB62,'自動車台帳'!$AP62,0)</f>
        <v>#N/A</v>
      </c>
      <c r="N61" s="148" t="e">
        <f ca="1">OFFSET('自動車台帳'!AC62,'自動車台帳'!$AP62,0)</f>
        <v>#N/A</v>
      </c>
      <c r="O61" s="153" t="e">
        <f ca="1">OFFSET('自動車台帳'!AD62,'自動車台帳'!$AP62,0)</f>
        <v>#N/A</v>
      </c>
      <c r="P61" s="154" t="e">
        <f ca="1">OFFSET('自動車台帳'!AE62,'自動車台帳'!$AP62,0)</f>
        <v>#N/A</v>
      </c>
      <c r="Q61" s="154" t="e">
        <f ca="1">OFFSET('自動車台帳'!AF62,'自動車台帳'!$AP62,0)</f>
        <v>#N/A</v>
      </c>
    </row>
    <row r="62" spans="1:17" ht="13.5">
      <c r="A62" s="148" t="e">
        <f ca="1">OFFSET('自動車台帳'!C63,'自動車台帳'!$AP63,0)</f>
        <v>#N/A</v>
      </c>
      <c r="B62" s="148" t="e">
        <f ca="1">OFFSET('自動車台帳'!D63,'自動車台帳'!$AP63,0)</f>
        <v>#N/A</v>
      </c>
      <c r="C62" s="148" t="e">
        <f ca="1">OFFSET('自動車台帳'!E63,'自動車台帳'!$AP63,0)</f>
        <v>#N/A</v>
      </c>
      <c r="D62" s="148" t="e">
        <f ca="1">OFFSET('自動車台帳'!F63,'自動車台帳'!$AP63,0)</f>
        <v>#N/A</v>
      </c>
      <c r="E62" s="149" t="e">
        <f ca="1">OFFSET('自動車台帳'!G63,'自動車台帳'!$AP63,0)</f>
        <v>#N/A</v>
      </c>
      <c r="F62" s="150" t="e">
        <f ca="1">OFFSET('自動車台帳'!H63,'自動車台帳'!$AP63,0)</f>
        <v>#N/A</v>
      </c>
      <c r="G62" s="148" t="e">
        <f ca="1">OFFSET('自動車台帳'!I63,'自動車台帳'!$AP63,0)</f>
        <v>#N/A</v>
      </c>
      <c r="H62" s="148" t="e">
        <f ca="1">OFFSET('自動車台帳'!J63,'自動車台帳'!$AP63,0)</f>
        <v>#N/A</v>
      </c>
      <c r="I62" s="149" t="e">
        <f ca="1">OFFSET('自動車台帳'!K63,'自動車台帳'!$AP63,0)</f>
        <v>#N/A</v>
      </c>
      <c r="J62" s="151" t="e">
        <f ca="1">OFFSET('自動車台帳'!L63,'自動車台帳'!$AP63,0)</f>
        <v>#N/A</v>
      </c>
      <c r="K62" s="152" t="e">
        <f ca="1">OFFSET('自動車台帳'!M63,'自動車台帳'!$AP63,0)</f>
        <v>#N/A</v>
      </c>
      <c r="L62" s="152" t="e">
        <f ca="1">OFFSET('自動車台帳'!N63,'自動車台帳'!$AP63,0)</f>
        <v>#N/A</v>
      </c>
      <c r="M62" s="148" t="e">
        <f ca="1">OFFSET('自動車台帳'!AB63,'自動車台帳'!$AP63,0)</f>
        <v>#N/A</v>
      </c>
      <c r="N62" s="148" t="e">
        <f ca="1">OFFSET('自動車台帳'!AC63,'自動車台帳'!$AP63,0)</f>
        <v>#N/A</v>
      </c>
      <c r="O62" s="153" t="e">
        <f ca="1">OFFSET('自動車台帳'!AD63,'自動車台帳'!$AP63,0)</f>
        <v>#N/A</v>
      </c>
      <c r="P62" s="154" t="e">
        <f ca="1">OFFSET('自動車台帳'!AE63,'自動車台帳'!$AP63,0)</f>
        <v>#N/A</v>
      </c>
      <c r="Q62" s="154" t="e">
        <f ca="1">OFFSET('自動車台帳'!AF63,'自動車台帳'!$AP63,0)</f>
        <v>#N/A</v>
      </c>
    </row>
    <row r="63" spans="1:17" ht="13.5">
      <c r="A63" s="148" t="e">
        <f ca="1">OFFSET('自動車台帳'!C64,'自動車台帳'!$AP64,0)</f>
        <v>#N/A</v>
      </c>
      <c r="B63" s="148" t="e">
        <f ca="1">OFFSET('自動車台帳'!D64,'自動車台帳'!$AP64,0)</f>
        <v>#N/A</v>
      </c>
      <c r="C63" s="148" t="e">
        <f ca="1">OFFSET('自動車台帳'!E64,'自動車台帳'!$AP64,0)</f>
        <v>#N/A</v>
      </c>
      <c r="D63" s="148" t="e">
        <f ca="1">OFFSET('自動車台帳'!F64,'自動車台帳'!$AP64,0)</f>
        <v>#N/A</v>
      </c>
      <c r="E63" s="149" t="e">
        <f ca="1">OFFSET('自動車台帳'!G64,'自動車台帳'!$AP64,0)</f>
        <v>#N/A</v>
      </c>
      <c r="F63" s="150" t="e">
        <f ca="1">OFFSET('自動車台帳'!H64,'自動車台帳'!$AP64,0)</f>
        <v>#N/A</v>
      </c>
      <c r="G63" s="148" t="e">
        <f ca="1">OFFSET('自動車台帳'!I64,'自動車台帳'!$AP64,0)</f>
        <v>#N/A</v>
      </c>
      <c r="H63" s="148" t="e">
        <f ca="1">OFFSET('自動車台帳'!J64,'自動車台帳'!$AP64,0)</f>
        <v>#N/A</v>
      </c>
      <c r="I63" s="149" t="e">
        <f ca="1">OFFSET('自動車台帳'!K64,'自動車台帳'!$AP64,0)</f>
        <v>#N/A</v>
      </c>
      <c r="J63" s="151" t="e">
        <f ca="1">OFFSET('自動車台帳'!L64,'自動車台帳'!$AP64,0)</f>
        <v>#N/A</v>
      </c>
      <c r="K63" s="152" t="e">
        <f ca="1">OFFSET('自動車台帳'!M64,'自動車台帳'!$AP64,0)</f>
        <v>#N/A</v>
      </c>
      <c r="L63" s="152" t="e">
        <f ca="1">OFFSET('自動車台帳'!N64,'自動車台帳'!$AP64,0)</f>
        <v>#N/A</v>
      </c>
      <c r="M63" s="148" t="e">
        <f ca="1">OFFSET('自動車台帳'!AB64,'自動車台帳'!$AP64,0)</f>
        <v>#N/A</v>
      </c>
      <c r="N63" s="148" t="e">
        <f ca="1">OFFSET('自動車台帳'!AC64,'自動車台帳'!$AP64,0)</f>
        <v>#N/A</v>
      </c>
      <c r="O63" s="153" t="e">
        <f ca="1">OFFSET('自動車台帳'!AD64,'自動車台帳'!$AP64,0)</f>
        <v>#N/A</v>
      </c>
      <c r="P63" s="154" t="e">
        <f ca="1">OFFSET('自動車台帳'!AE64,'自動車台帳'!$AP64,0)</f>
        <v>#N/A</v>
      </c>
      <c r="Q63" s="154" t="e">
        <f ca="1">OFFSET('自動車台帳'!AF64,'自動車台帳'!$AP64,0)</f>
        <v>#N/A</v>
      </c>
    </row>
    <row r="64" spans="1:17" ht="13.5">
      <c r="A64" s="148" t="e">
        <f ca="1">OFFSET('自動車台帳'!C65,'自動車台帳'!$AP65,0)</f>
        <v>#N/A</v>
      </c>
      <c r="B64" s="148" t="e">
        <f ca="1">OFFSET('自動車台帳'!D65,'自動車台帳'!$AP65,0)</f>
        <v>#N/A</v>
      </c>
      <c r="C64" s="148" t="e">
        <f ca="1">OFFSET('自動車台帳'!E65,'自動車台帳'!$AP65,0)</f>
        <v>#N/A</v>
      </c>
      <c r="D64" s="148" t="e">
        <f ca="1">OFFSET('自動車台帳'!F65,'自動車台帳'!$AP65,0)</f>
        <v>#N/A</v>
      </c>
      <c r="E64" s="149" t="e">
        <f ca="1">OFFSET('自動車台帳'!G65,'自動車台帳'!$AP65,0)</f>
        <v>#N/A</v>
      </c>
      <c r="F64" s="150" t="e">
        <f ca="1">OFFSET('自動車台帳'!H65,'自動車台帳'!$AP65,0)</f>
        <v>#N/A</v>
      </c>
      <c r="G64" s="148" t="e">
        <f ca="1">OFFSET('自動車台帳'!I65,'自動車台帳'!$AP65,0)</f>
        <v>#N/A</v>
      </c>
      <c r="H64" s="148" t="e">
        <f ca="1">OFFSET('自動車台帳'!J65,'自動車台帳'!$AP65,0)</f>
        <v>#N/A</v>
      </c>
      <c r="I64" s="149" t="e">
        <f ca="1">OFFSET('自動車台帳'!K65,'自動車台帳'!$AP65,0)</f>
        <v>#N/A</v>
      </c>
      <c r="J64" s="151" t="e">
        <f ca="1">OFFSET('自動車台帳'!L65,'自動車台帳'!$AP65,0)</f>
        <v>#N/A</v>
      </c>
      <c r="K64" s="152" t="e">
        <f ca="1">OFFSET('自動車台帳'!M65,'自動車台帳'!$AP65,0)</f>
        <v>#N/A</v>
      </c>
      <c r="L64" s="152" t="e">
        <f ca="1">OFFSET('自動車台帳'!N65,'自動車台帳'!$AP65,0)</f>
        <v>#N/A</v>
      </c>
      <c r="M64" s="148" t="e">
        <f ca="1">OFFSET('自動車台帳'!AB65,'自動車台帳'!$AP65,0)</f>
        <v>#N/A</v>
      </c>
      <c r="N64" s="148" t="e">
        <f ca="1">OFFSET('自動車台帳'!AC65,'自動車台帳'!$AP65,0)</f>
        <v>#N/A</v>
      </c>
      <c r="O64" s="153" t="e">
        <f ca="1">OFFSET('自動車台帳'!AD65,'自動車台帳'!$AP65,0)</f>
        <v>#N/A</v>
      </c>
      <c r="P64" s="154" t="e">
        <f ca="1">OFFSET('自動車台帳'!AE65,'自動車台帳'!$AP65,0)</f>
        <v>#N/A</v>
      </c>
      <c r="Q64" s="154" t="e">
        <f ca="1">OFFSET('自動車台帳'!AF65,'自動車台帳'!$AP65,0)</f>
        <v>#N/A</v>
      </c>
    </row>
    <row r="65" spans="1:17" ht="13.5">
      <c r="A65" s="148" t="e">
        <f ca="1">OFFSET('自動車台帳'!C66,'自動車台帳'!$AP66,0)</f>
        <v>#N/A</v>
      </c>
      <c r="B65" s="148" t="e">
        <f ca="1">OFFSET('自動車台帳'!D66,'自動車台帳'!$AP66,0)</f>
        <v>#N/A</v>
      </c>
      <c r="C65" s="148" t="e">
        <f ca="1">OFFSET('自動車台帳'!E66,'自動車台帳'!$AP66,0)</f>
        <v>#N/A</v>
      </c>
      <c r="D65" s="148" t="e">
        <f ca="1">OFFSET('自動車台帳'!F66,'自動車台帳'!$AP66,0)</f>
        <v>#N/A</v>
      </c>
      <c r="E65" s="149" t="e">
        <f ca="1">OFFSET('自動車台帳'!G66,'自動車台帳'!$AP66,0)</f>
        <v>#N/A</v>
      </c>
      <c r="F65" s="150" t="e">
        <f ca="1">OFFSET('自動車台帳'!H66,'自動車台帳'!$AP66,0)</f>
        <v>#N/A</v>
      </c>
      <c r="G65" s="148" t="e">
        <f ca="1">OFFSET('自動車台帳'!I66,'自動車台帳'!$AP66,0)</f>
        <v>#N/A</v>
      </c>
      <c r="H65" s="148" t="e">
        <f ca="1">OFFSET('自動車台帳'!J66,'自動車台帳'!$AP66,0)</f>
        <v>#N/A</v>
      </c>
      <c r="I65" s="149" t="e">
        <f ca="1">OFFSET('自動車台帳'!K66,'自動車台帳'!$AP66,0)</f>
        <v>#N/A</v>
      </c>
      <c r="J65" s="151" t="e">
        <f ca="1">OFFSET('自動車台帳'!L66,'自動車台帳'!$AP66,0)</f>
        <v>#N/A</v>
      </c>
      <c r="K65" s="152" t="e">
        <f ca="1">OFFSET('自動車台帳'!M66,'自動車台帳'!$AP66,0)</f>
        <v>#N/A</v>
      </c>
      <c r="L65" s="152" t="e">
        <f ca="1">OFFSET('自動車台帳'!N66,'自動車台帳'!$AP66,0)</f>
        <v>#N/A</v>
      </c>
      <c r="M65" s="148" t="e">
        <f ca="1">OFFSET('自動車台帳'!AB66,'自動車台帳'!$AP66,0)</f>
        <v>#N/A</v>
      </c>
      <c r="N65" s="148" t="e">
        <f ca="1">OFFSET('自動車台帳'!AC66,'自動車台帳'!$AP66,0)</f>
        <v>#N/A</v>
      </c>
      <c r="O65" s="153" t="e">
        <f ca="1">OFFSET('自動車台帳'!AD66,'自動車台帳'!$AP66,0)</f>
        <v>#N/A</v>
      </c>
      <c r="P65" s="154" t="e">
        <f ca="1">OFFSET('自動車台帳'!AE66,'自動車台帳'!$AP66,0)</f>
        <v>#N/A</v>
      </c>
      <c r="Q65" s="154" t="e">
        <f ca="1">OFFSET('自動車台帳'!AF66,'自動車台帳'!$AP66,0)</f>
        <v>#N/A</v>
      </c>
    </row>
    <row r="66" spans="1:17" ht="13.5">
      <c r="A66" s="148" t="e">
        <f ca="1">OFFSET('自動車台帳'!C67,'自動車台帳'!$AP67,0)</f>
        <v>#N/A</v>
      </c>
      <c r="B66" s="148" t="e">
        <f ca="1">OFFSET('自動車台帳'!D67,'自動車台帳'!$AP67,0)</f>
        <v>#N/A</v>
      </c>
      <c r="C66" s="148" t="e">
        <f ca="1">OFFSET('自動車台帳'!E67,'自動車台帳'!$AP67,0)</f>
        <v>#N/A</v>
      </c>
      <c r="D66" s="148" t="e">
        <f ca="1">OFFSET('自動車台帳'!F67,'自動車台帳'!$AP67,0)</f>
        <v>#N/A</v>
      </c>
      <c r="E66" s="149" t="e">
        <f ca="1">OFFSET('自動車台帳'!G67,'自動車台帳'!$AP67,0)</f>
        <v>#N/A</v>
      </c>
      <c r="F66" s="150" t="e">
        <f ca="1">OFFSET('自動車台帳'!H67,'自動車台帳'!$AP67,0)</f>
        <v>#N/A</v>
      </c>
      <c r="G66" s="148" t="e">
        <f ca="1">OFFSET('自動車台帳'!I67,'自動車台帳'!$AP67,0)</f>
        <v>#N/A</v>
      </c>
      <c r="H66" s="148" t="e">
        <f ca="1">OFFSET('自動車台帳'!J67,'自動車台帳'!$AP67,0)</f>
        <v>#N/A</v>
      </c>
      <c r="I66" s="149" t="e">
        <f ca="1">OFFSET('自動車台帳'!K67,'自動車台帳'!$AP67,0)</f>
        <v>#N/A</v>
      </c>
      <c r="J66" s="151" t="e">
        <f ca="1">OFFSET('自動車台帳'!L67,'自動車台帳'!$AP67,0)</f>
        <v>#N/A</v>
      </c>
      <c r="K66" s="152" t="e">
        <f ca="1">OFFSET('自動車台帳'!M67,'自動車台帳'!$AP67,0)</f>
        <v>#N/A</v>
      </c>
      <c r="L66" s="152" t="e">
        <f ca="1">OFFSET('自動車台帳'!N67,'自動車台帳'!$AP67,0)</f>
        <v>#N/A</v>
      </c>
      <c r="M66" s="148" t="e">
        <f ca="1">OFFSET('自動車台帳'!AB67,'自動車台帳'!$AP67,0)</f>
        <v>#N/A</v>
      </c>
      <c r="N66" s="148" t="e">
        <f ca="1">OFFSET('自動車台帳'!AC67,'自動車台帳'!$AP67,0)</f>
        <v>#N/A</v>
      </c>
      <c r="O66" s="153" t="e">
        <f ca="1">OFFSET('自動車台帳'!AD67,'自動車台帳'!$AP67,0)</f>
        <v>#N/A</v>
      </c>
      <c r="P66" s="154" t="e">
        <f ca="1">OFFSET('自動車台帳'!AE67,'自動車台帳'!$AP67,0)</f>
        <v>#N/A</v>
      </c>
      <c r="Q66" s="154" t="e">
        <f ca="1">OFFSET('自動車台帳'!AF67,'自動車台帳'!$AP67,0)</f>
        <v>#N/A</v>
      </c>
    </row>
    <row r="67" spans="1:17" ht="13.5">
      <c r="A67" s="148" t="e">
        <f ca="1">OFFSET('自動車台帳'!C68,'自動車台帳'!$AP68,0)</f>
        <v>#N/A</v>
      </c>
      <c r="B67" s="148" t="e">
        <f ca="1">OFFSET('自動車台帳'!D68,'自動車台帳'!$AP68,0)</f>
        <v>#N/A</v>
      </c>
      <c r="C67" s="148" t="e">
        <f ca="1">OFFSET('自動車台帳'!E68,'自動車台帳'!$AP68,0)</f>
        <v>#N/A</v>
      </c>
      <c r="D67" s="148" t="e">
        <f ca="1">OFFSET('自動車台帳'!F68,'自動車台帳'!$AP68,0)</f>
        <v>#N/A</v>
      </c>
      <c r="E67" s="149" t="e">
        <f ca="1">OFFSET('自動車台帳'!G68,'自動車台帳'!$AP68,0)</f>
        <v>#N/A</v>
      </c>
      <c r="F67" s="150" t="e">
        <f ca="1">OFFSET('自動車台帳'!H68,'自動車台帳'!$AP68,0)</f>
        <v>#N/A</v>
      </c>
      <c r="G67" s="148" t="e">
        <f ca="1">OFFSET('自動車台帳'!I68,'自動車台帳'!$AP68,0)</f>
        <v>#N/A</v>
      </c>
      <c r="H67" s="148" t="e">
        <f ca="1">OFFSET('自動車台帳'!J68,'自動車台帳'!$AP68,0)</f>
        <v>#N/A</v>
      </c>
      <c r="I67" s="149" t="e">
        <f ca="1">OFFSET('自動車台帳'!K68,'自動車台帳'!$AP68,0)</f>
        <v>#N/A</v>
      </c>
      <c r="J67" s="151" t="e">
        <f ca="1">OFFSET('自動車台帳'!L68,'自動車台帳'!$AP68,0)</f>
        <v>#N/A</v>
      </c>
      <c r="K67" s="152" t="e">
        <f ca="1">OFFSET('自動車台帳'!M68,'自動車台帳'!$AP68,0)</f>
        <v>#N/A</v>
      </c>
      <c r="L67" s="152" t="e">
        <f ca="1">OFFSET('自動車台帳'!N68,'自動車台帳'!$AP68,0)</f>
        <v>#N/A</v>
      </c>
      <c r="M67" s="148" t="e">
        <f ca="1">OFFSET('自動車台帳'!AB68,'自動車台帳'!$AP68,0)</f>
        <v>#N/A</v>
      </c>
      <c r="N67" s="148" t="e">
        <f ca="1">OFFSET('自動車台帳'!AC68,'自動車台帳'!$AP68,0)</f>
        <v>#N/A</v>
      </c>
      <c r="O67" s="153" t="e">
        <f ca="1">OFFSET('自動車台帳'!AD68,'自動車台帳'!$AP68,0)</f>
        <v>#N/A</v>
      </c>
      <c r="P67" s="154" t="e">
        <f ca="1">OFFSET('自動車台帳'!AE68,'自動車台帳'!$AP68,0)</f>
        <v>#N/A</v>
      </c>
      <c r="Q67" s="154" t="e">
        <f ca="1">OFFSET('自動車台帳'!AF68,'自動車台帳'!$AP68,0)</f>
        <v>#N/A</v>
      </c>
    </row>
    <row r="68" spans="1:17" ht="13.5">
      <c r="A68" s="148" t="e">
        <f ca="1">OFFSET('自動車台帳'!C69,'自動車台帳'!$AP69,0)</f>
        <v>#N/A</v>
      </c>
      <c r="B68" s="148" t="e">
        <f ca="1">OFFSET('自動車台帳'!D69,'自動車台帳'!$AP69,0)</f>
        <v>#N/A</v>
      </c>
      <c r="C68" s="148" t="e">
        <f ca="1">OFFSET('自動車台帳'!E69,'自動車台帳'!$AP69,0)</f>
        <v>#N/A</v>
      </c>
      <c r="D68" s="148" t="e">
        <f ca="1">OFFSET('自動車台帳'!F69,'自動車台帳'!$AP69,0)</f>
        <v>#N/A</v>
      </c>
      <c r="E68" s="149" t="e">
        <f ca="1">OFFSET('自動車台帳'!G69,'自動車台帳'!$AP69,0)</f>
        <v>#N/A</v>
      </c>
      <c r="F68" s="150" t="e">
        <f ca="1">OFFSET('自動車台帳'!H69,'自動車台帳'!$AP69,0)</f>
        <v>#N/A</v>
      </c>
      <c r="G68" s="148" t="e">
        <f ca="1">OFFSET('自動車台帳'!I69,'自動車台帳'!$AP69,0)</f>
        <v>#N/A</v>
      </c>
      <c r="H68" s="148" t="e">
        <f ca="1">OFFSET('自動車台帳'!J69,'自動車台帳'!$AP69,0)</f>
        <v>#N/A</v>
      </c>
      <c r="I68" s="149" t="e">
        <f ca="1">OFFSET('自動車台帳'!K69,'自動車台帳'!$AP69,0)</f>
        <v>#N/A</v>
      </c>
      <c r="J68" s="151" t="e">
        <f ca="1">OFFSET('自動車台帳'!L69,'自動車台帳'!$AP69,0)</f>
        <v>#N/A</v>
      </c>
      <c r="K68" s="152" t="e">
        <f ca="1">OFFSET('自動車台帳'!M69,'自動車台帳'!$AP69,0)</f>
        <v>#N/A</v>
      </c>
      <c r="L68" s="152" t="e">
        <f ca="1">OFFSET('自動車台帳'!N69,'自動車台帳'!$AP69,0)</f>
        <v>#N/A</v>
      </c>
      <c r="M68" s="148" t="e">
        <f ca="1">OFFSET('自動車台帳'!AB69,'自動車台帳'!$AP69,0)</f>
        <v>#N/A</v>
      </c>
      <c r="N68" s="148" t="e">
        <f ca="1">OFFSET('自動車台帳'!AC69,'自動車台帳'!$AP69,0)</f>
        <v>#N/A</v>
      </c>
      <c r="O68" s="153" t="e">
        <f ca="1">OFFSET('自動車台帳'!AD69,'自動車台帳'!$AP69,0)</f>
        <v>#N/A</v>
      </c>
      <c r="P68" s="154" t="e">
        <f ca="1">OFFSET('自動車台帳'!AE69,'自動車台帳'!$AP69,0)</f>
        <v>#N/A</v>
      </c>
      <c r="Q68" s="154" t="e">
        <f ca="1">OFFSET('自動車台帳'!AF69,'自動車台帳'!$AP69,0)</f>
        <v>#N/A</v>
      </c>
    </row>
    <row r="69" spans="1:17" ht="13.5">
      <c r="A69" s="148" t="e">
        <f ca="1">OFFSET('自動車台帳'!C70,'自動車台帳'!$AP70,0)</f>
        <v>#N/A</v>
      </c>
      <c r="B69" s="148" t="e">
        <f ca="1">OFFSET('自動車台帳'!D70,'自動車台帳'!$AP70,0)</f>
        <v>#N/A</v>
      </c>
      <c r="C69" s="148" t="e">
        <f ca="1">OFFSET('自動車台帳'!E70,'自動車台帳'!$AP70,0)</f>
        <v>#N/A</v>
      </c>
      <c r="D69" s="148" t="e">
        <f ca="1">OFFSET('自動車台帳'!F70,'自動車台帳'!$AP70,0)</f>
        <v>#N/A</v>
      </c>
      <c r="E69" s="149" t="e">
        <f ca="1">OFFSET('自動車台帳'!G70,'自動車台帳'!$AP70,0)</f>
        <v>#N/A</v>
      </c>
      <c r="F69" s="150" t="e">
        <f ca="1">OFFSET('自動車台帳'!H70,'自動車台帳'!$AP70,0)</f>
        <v>#N/A</v>
      </c>
      <c r="G69" s="148" t="e">
        <f ca="1">OFFSET('自動車台帳'!I70,'自動車台帳'!$AP70,0)</f>
        <v>#N/A</v>
      </c>
      <c r="H69" s="148" t="e">
        <f ca="1">OFFSET('自動車台帳'!J70,'自動車台帳'!$AP70,0)</f>
        <v>#N/A</v>
      </c>
      <c r="I69" s="149" t="e">
        <f ca="1">OFFSET('自動車台帳'!K70,'自動車台帳'!$AP70,0)</f>
        <v>#N/A</v>
      </c>
      <c r="J69" s="151" t="e">
        <f ca="1">OFFSET('自動車台帳'!L70,'自動車台帳'!$AP70,0)</f>
        <v>#N/A</v>
      </c>
      <c r="K69" s="152" t="e">
        <f ca="1">OFFSET('自動車台帳'!M70,'自動車台帳'!$AP70,0)</f>
        <v>#N/A</v>
      </c>
      <c r="L69" s="152" t="e">
        <f ca="1">OFFSET('自動車台帳'!N70,'自動車台帳'!$AP70,0)</f>
        <v>#N/A</v>
      </c>
      <c r="M69" s="148" t="e">
        <f ca="1">OFFSET('自動車台帳'!AB70,'自動車台帳'!$AP70,0)</f>
        <v>#N/A</v>
      </c>
      <c r="N69" s="148" t="e">
        <f ca="1">OFFSET('自動車台帳'!AC70,'自動車台帳'!$AP70,0)</f>
        <v>#N/A</v>
      </c>
      <c r="O69" s="153" t="e">
        <f ca="1">OFFSET('自動車台帳'!AD70,'自動車台帳'!$AP70,0)</f>
        <v>#N/A</v>
      </c>
      <c r="P69" s="154" t="e">
        <f ca="1">OFFSET('自動車台帳'!AE70,'自動車台帳'!$AP70,0)</f>
        <v>#N/A</v>
      </c>
      <c r="Q69" s="154" t="e">
        <f ca="1">OFFSET('自動車台帳'!AF70,'自動車台帳'!$AP70,0)</f>
        <v>#N/A</v>
      </c>
    </row>
    <row r="70" spans="1:17" ht="13.5">
      <c r="A70" s="148" t="e">
        <f ca="1">OFFSET('自動車台帳'!C71,'自動車台帳'!$AP71,0)</f>
        <v>#N/A</v>
      </c>
      <c r="B70" s="148" t="e">
        <f ca="1">OFFSET('自動車台帳'!D71,'自動車台帳'!$AP71,0)</f>
        <v>#N/A</v>
      </c>
      <c r="C70" s="148" t="e">
        <f ca="1">OFFSET('自動車台帳'!E71,'自動車台帳'!$AP71,0)</f>
        <v>#N/A</v>
      </c>
      <c r="D70" s="148" t="e">
        <f ca="1">OFFSET('自動車台帳'!F71,'自動車台帳'!$AP71,0)</f>
        <v>#N/A</v>
      </c>
      <c r="E70" s="149" t="e">
        <f ca="1">OFFSET('自動車台帳'!G71,'自動車台帳'!$AP71,0)</f>
        <v>#N/A</v>
      </c>
      <c r="F70" s="150" t="e">
        <f ca="1">OFFSET('自動車台帳'!H71,'自動車台帳'!$AP71,0)</f>
        <v>#N/A</v>
      </c>
      <c r="G70" s="148" t="e">
        <f ca="1">OFFSET('自動車台帳'!I71,'自動車台帳'!$AP71,0)</f>
        <v>#N/A</v>
      </c>
      <c r="H70" s="148" t="e">
        <f ca="1">OFFSET('自動車台帳'!J71,'自動車台帳'!$AP71,0)</f>
        <v>#N/A</v>
      </c>
      <c r="I70" s="149" t="e">
        <f ca="1">OFFSET('自動車台帳'!K71,'自動車台帳'!$AP71,0)</f>
        <v>#N/A</v>
      </c>
      <c r="J70" s="151" t="e">
        <f ca="1">OFFSET('自動車台帳'!L71,'自動車台帳'!$AP71,0)</f>
        <v>#N/A</v>
      </c>
      <c r="K70" s="152" t="e">
        <f ca="1">OFFSET('自動車台帳'!M71,'自動車台帳'!$AP71,0)</f>
        <v>#N/A</v>
      </c>
      <c r="L70" s="152" t="e">
        <f ca="1">OFFSET('自動車台帳'!N71,'自動車台帳'!$AP71,0)</f>
        <v>#N/A</v>
      </c>
      <c r="M70" s="148" t="e">
        <f ca="1">OFFSET('自動車台帳'!AB71,'自動車台帳'!$AP71,0)</f>
        <v>#N/A</v>
      </c>
      <c r="N70" s="148" t="e">
        <f ca="1">OFFSET('自動車台帳'!AC71,'自動車台帳'!$AP71,0)</f>
        <v>#N/A</v>
      </c>
      <c r="O70" s="153" t="e">
        <f ca="1">OFFSET('自動車台帳'!AD71,'自動車台帳'!$AP71,0)</f>
        <v>#N/A</v>
      </c>
      <c r="P70" s="154" t="e">
        <f ca="1">OFFSET('自動車台帳'!AE71,'自動車台帳'!$AP71,0)</f>
        <v>#N/A</v>
      </c>
      <c r="Q70" s="154" t="e">
        <f ca="1">OFFSET('自動車台帳'!AF71,'自動車台帳'!$AP71,0)</f>
        <v>#N/A</v>
      </c>
    </row>
    <row r="71" spans="1:17" ht="13.5">
      <c r="A71" s="148" t="e">
        <f ca="1">OFFSET('自動車台帳'!C72,'自動車台帳'!$AP72,0)</f>
        <v>#N/A</v>
      </c>
      <c r="B71" s="148" t="e">
        <f ca="1">OFFSET('自動車台帳'!D72,'自動車台帳'!$AP72,0)</f>
        <v>#N/A</v>
      </c>
      <c r="C71" s="148" t="e">
        <f ca="1">OFFSET('自動車台帳'!E72,'自動車台帳'!$AP72,0)</f>
        <v>#N/A</v>
      </c>
      <c r="D71" s="148" t="e">
        <f ca="1">OFFSET('自動車台帳'!F72,'自動車台帳'!$AP72,0)</f>
        <v>#N/A</v>
      </c>
      <c r="E71" s="149" t="e">
        <f ca="1">OFFSET('自動車台帳'!G72,'自動車台帳'!$AP72,0)</f>
        <v>#N/A</v>
      </c>
      <c r="F71" s="150" t="e">
        <f ca="1">OFFSET('自動車台帳'!H72,'自動車台帳'!$AP72,0)</f>
        <v>#N/A</v>
      </c>
      <c r="G71" s="148" t="e">
        <f ca="1">OFFSET('自動車台帳'!I72,'自動車台帳'!$AP72,0)</f>
        <v>#N/A</v>
      </c>
      <c r="H71" s="148" t="e">
        <f ca="1">OFFSET('自動車台帳'!J72,'自動車台帳'!$AP72,0)</f>
        <v>#N/A</v>
      </c>
      <c r="I71" s="149" t="e">
        <f ca="1">OFFSET('自動車台帳'!K72,'自動車台帳'!$AP72,0)</f>
        <v>#N/A</v>
      </c>
      <c r="J71" s="151" t="e">
        <f ca="1">OFFSET('自動車台帳'!L72,'自動車台帳'!$AP72,0)</f>
        <v>#N/A</v>
      </c>
      <c r="K71" s="152" t="e">
        <f ca="1">OFFSET('自動車台帳'!M72,'自動車台帳'!$AP72,0)</f>
        <v>#N/A</v>
      </c>
      <c r="L71" s="152" t="e">
        <f ca="1">OFFSET('自動車台帳'!N72,'自動車台帳'!$AP72,0)</f>
        <v>#N/A</v>
      </c>
      <c r="M71" s="148" t="e">
        <f ca="1">OFFSET('自動車台帳'!AB72,'自動車台帳'!$AP72,0)</f>
        <v>#N/A</v>
      </c>
      <c r="N71" s="148" t="e">
        <f ca="1">OFFSET('自動車台帳'!AC72,'自動車台帳'!$AP72,0)</f>
        <v>#N/A</v>
      </c>
      <c r="O71" s="153" t="e">
        <f ca="1">OFFSET('自動車台帳'!AD72,'自動車台帳'!$AP72,0)</f>
        <v>#N/A</v>
      </c>
      <c r="P71" s="154" t="e">
        <f ca="1">OFFSET('自動車台帳'!AE72,'自動車台帳'!$AP72,0)</f>
        <v>#N/A</v>
      </c>
      <c r="Q71" s="154" t="e">
        <f ca="1">OFFSET('自動車台帳'!AF72,'自動車台帳'!$AP72,0)</f>
        <v>#N/A</v>
      </c>
    </row>
    <row r="72" spans="1:17" ht="13.5">
      <c r="A72" s="148" t="e">
        <f ca="1">OFFSET('自動車台帳'!C73,'自動車台帳'!$AP73,0)</f>
        <v>#N/A</v>
      </c>
      <c r="B72" s="148" t="e">
        <f ca="1">OFFSET('自動車台帳'!D73,'自動車台帳'!$AP73,0)</f>
        <v>#N/A</v>
      </c>
      <c r="C72" s="148" t="e">
        <f ca="1">OFFSET('自動車台帳'!E73,'自動車台帳'!$AP73,0)</f>
        <v>#N/A</v>
      </c>
      <c r="D72" s="148" t="e">
        <f ca="1">OFFSET('自動車台帳'!F73,'自動車台帳'!$AP73,0)</f>
        <v>#N/A</v>
      </c>
      <c r="E72" s="149" t="e">
        <f ca="1">OFFSET('自動車台帳'!G73,'自動車台帳'!$AP73,0)</f>
        <v>#N/A</v>
      </c>
      <c r="F72" s="150" t="e">
        <f ca="1">OFFSET('自動車台帳'!H73,'自動車台帳'!$AP73,0)</f>
        <v>#N/A</v>
      </c>
      <c r="G72" s="148" t="e">
        <f ca="1">OFFSET('自動車台帳'!I73,'自動車台帳'!$AP73,0)</f>
        <v>#N/A</v>
      </c>
      <c r="H72" s="148" t="e">
        <f ca="1">OFFSET('自動車台帳'!J73,'自動車台帳'!$AP73,0)</f>
        <v>#N/A</v>
      </c>
      <c r="I72" s="149" t="e">
        <f ca="1">OFFSET('自動車台帳'!K73,'自動車台帳'!$AP73,0)</f>
        <v>#N/A</v>
      </c>
      <c r="J72" s="151" t="e">
        <f ca="1">OFFSET('自動車台帳'!L73,'自動車台帳'!$AP73,0)</f>
        <v>#N/A</v>
      </c>
      <c r="K72" s="152" t="e">
        <f ca="1">OFFSET('自動車台帳'!M73,'自動車台帳'!$AP73,0)</f>
        <v>#N/A</v>
      </c>
      <c r="L72" s="152" t="e">
        <f ca="1">OFFSET('自動車台帳'!N73,'自動車台帳'!$AP73,0)</f>
        <v>#N/A</v>
      </c>
      <c r="M72" s="148" t="e">
        <f ca="1">OFFSET('自動車台帳'!AB73,'自動車台帳'!$AP73,0)</f>
        <v>#N/A</v>
      </c>
      <c r="N72" s="148" t="e">
        <f ca="1">OFFSET('自動車台帳'!AC73,'自動車台帳'!$AP73,0)</f>
        <v>#N/A</v>
      </c>
      <c r="O72" s="153" t="e">
        <f ca="1">OFFSET('自動車台帳'!AD73,'自動車台帳'!$AP73,0)</f>
        <v>#N/A</v>
      </c>
      <c r="P72" s="154" t="e">
        <f ca="1">OFFSET('自動車台帳'!AE73,'自動車台帳'!$AP73,0)</f>
        <v>#N/A</v>
      </c>
      <c r="Q72" s="154" t="e">
        <f ca="1">OFFSET('自動車台帳'!AF73,'自動車台帳'!$AP73,0)</f>
        <v>#N/A</v>
      </c>
    </row>
    <row r="73" spans="1:17" ht="13.5">
      <c r="A73" s="148" t="e">
        <f ca="1">OFFSET('自動車台帳'!C74,'自動車台帳'!$AP74,0)</f>
        <v>#N/A</v>
      </c>
      <c r="B73" s="148" t="e">
        <f ca="1">OFFSET('自動車台帳'!D74,'自動車台帳'!$AP74,0)</f>
        <v>#N/A</v>
      </c>
      <c r="C73" s="148" t="e">
        <f ca="1">OFFSET('自動車台帳'!E74,'自動車台帳'!$AP74,0)</f>
        <v>#N/A</v>
      </c>
      <c r="D73" s="148" t="e">
        <f ca="1">OFFSET('自動車台帳'!F74,'自動車台帳'!$AP74,0)</f>
        <v>#N/A</v>
      </c>
      <c r="E73" s="149" t="e">
        <f ca="1">OFFSET('自動車台帳'!G74,'自動車台帳'!$AP74,0)</f>
        <v>#N/A</v>
      </c>
      <c r="F73" s="150" t="e">
        <f ca="1">OFFSET('自動車台帳'!H74,'自動車台帳'!$AP74,0)</f>
        <v>#N/A</v>
      </c>
      <c r="G73" s="148" t="e">
        <f ca="1">OFFSET('自動車台帳'!I74,'自動車台帳'!$AP74,0)</f>
        <v>#N/A</v>
      </c>
      <c r="H73" s="148" t="e">
        <f ca="1">OFFSET('自動車台帳'!J74,'自動車台帳'!$AP74,0)</f>
        <v>#N/A</v>
      </c>
      <c r="I73" s="149" t="e">
        <f ca="1">OFFSET('自動車台帳'!K74,'自動車台帳'!$AP74,0)</f>
        <v>#N/A</v>
      </c>
      <c r="J73" s="151" t="e">
        <f ca="1">OFFSET('自動車台帳'!L74,'自動車台帳'!$AP74,0)</f>
        <v>#N/A</v>
      </c>
      <c r="K73" s="152" t="e">
        <f ca="1">OFFSET('自動車台帳'!M74,'自動車台帳'!$AP74,0)</f>
        <v>#N/A</v>
      </c>
      <c r="L73" s="152" t="e">
        <f ca="1">OFFSET('自動車台帳'!N74,'自動車台帳'!$AP74,0)</f>
        <v>#N/A</v>
      </c>
      <c r="M73" s="148" t="e">
        <f ca="1">OFFSET('自動車台帳'!AB74,'自動車台帳'!$AP74,0)</f>
        <v>#N/A</v>
      </c>
      <c r="N73" s="148" t="e">
        <f ca="1">OFFSET('自動車台帳'!AC74,'自動車台帳'!$AP74,0)</f>
        <v>#N/A</v>
      </c>
      <c r="O73" s="153" t="e">
        <f ca="1">OFFSET('自動車台帳'!AD74,'自動車台帳'!$AP74,0)</f>
        <v>#N/A</v>
      </c>
      <c r="P73" s="154" t="e">
        <f ca="1">OFFSET('自動車台帳'!AE74,'自動車台帳'!$AP74,0)</f>
        <v>#N/A</v>
      </c>
      <c r="Q73" s="154" t="e">
        <f ca="1">OFFSET('自動車台帳'!AF74,'自動車台帳'!$AP74,0)</f>
        <v>#N/A</v>
      </c>
    </row>
    <row r="74" spans="1:17" ht="13.5">
      <c r="A74" s="148" t="e">
        <f ca="1">OFFSET('自動車台帳'!C75,'自動車台帳'!$AP75,0)</f>
        <v>#N/A</v>
      </c>
      <c r="B74" s="148" t="e">
        <f ca="1">OFFSET('自動車台帳'!D75,'自動車台帳'!$AP75,0)</f>
        <v>#N/A</v>
      </c>
      <c r="C74" s="148" t="e">
        <f ca="1">OFFSET('自動車台帳'!E75,'自動車台帳'!$AP75,0)</f>
        <v>#N/A</v>
      </c>
      <c r="D74" s="148" t="e">
        <f ca="1">OFFSET('自動車台帳'!F75,'自動車台帳'!$AP75,0)</f>
        <v>#N/A</v>
      </c>
      <c r="E74" s="149" t="e">
        <f ca="1">OFFSET('自動車台帳'!G75,'自動車台帳'!$AP75,0)</f>
        <v>#N/A</v>
      </c>
      <c r="F74" s="150" t="e">
        <f ca="1">OFFSET('自動車台帳'!H75,'自動車台帳'!$AP75,0)</f>
        <v>#N/A</v>
      </c>
      <c r="G74" s="148" t="e">
        <f ca="1">OFFSET('自動車台帳'!I75,'自動車台帳'!$AP75,0)</f>
        <v>#N/A</v>
      </c>
      <c r="H74" s="148" t="e">
        <f ca="1">OFFSET('自動車台帳'!J75,'自動車台帳'!$AP75,0)</f>
        <v>#N/A</v>
      </c>
      <c r="I74" s="149" t="e">
        <f ca="1">OFFSET('自動車台帳'!K75,'自動車台帳'!$AP75,0)</f>
        <v>#N/A</v>
      </c>
      <c r="J74" s="151" t="e">
        <f ca="1">OFFSET('自動車台帳'!L75,'自動車台帳'!$AP75,0)</f>
        <v>#N/A</v>
      </c>
      <c r="K74" s="152" t="e">
        <f ca="1">OFFSET('自動車台帳'!M75,'自動車台帳'!$AP75,0)</f>
        <v>#N/A</v>
      </c>
      <c r="L74" s="152" t="e">
        <f ca="1">OFFSET('自動車台帳'!N75,'自動車台帳'!$AP75,0)</f>
        <v>#N/A</v>
      </c>
      <c r="M74" s="148" t="e">
        <f ca="1">OFFSET('自動車台帳'!AB75,'自動車台帳'!$AP75,0)</f>
        <v>#N/A</v>
      </c>
      <c r="N74" s="148" t="e">
        <f ca="1">OFFSET('自動車台帳'!AC75,'自動車台帳'!$AP75,0)</f>
        <v>#N/A</v>
      </c>
      <c r="O74" s="153" t="e">
        <f ca="1">OFFSET('自動車台帳'!AD75,'自動車台帳'!$AP75,0)</f>
        <v>#N/A</v>
      </c>
      <c r="P74" s="154" t="e">
        <f ca="1">OFFSET('自動車台帳'!AE75,'自動車台帳'!$AP75,0)</f>
        <v>#N/A</v>
      </c>
      <c r="Q74" s="154" t="e">
        <f ca="1">OFFSET('自動車台帳'!AF75,'自動車台帳'!$AP75,0)</f>
        <v>#N/A</v>
      </c>
    </row>
    <row r="75" spans="1:17" ht="13.5">
      <c r="A75" s="148" t="e">
        <f ca="1">OFFSET('自動車台帳'!C76,'自動車台帳'!$AP76,0)</f>
        <v>#N/A</v>
      </c>
      <c r="B75" s="148" t="e">
        <f ca="1">OFFSET('自動車台帳'!D76,'自動車台帳'!$AP76,0)</f>
        <v>#N/A</v>
      </c>
      <c r="C75" s="148" t="e">
        <f ca="1">OFFSET('自動車台帳'!E76,'自動車台帳'!$AP76,0)</f>
        <v>#N/A</v>
      </c>
      <c r="D75" s="148" t="e">
        <f ca="1">OFFSET('自動車台帳'!F76,'自動車台帳'!$AP76,0)</f>
        <v>#N/A</v>
      </c>
      <c r="E75" s="149" t="e">
        <f ca="1">OFFSET('自動車台帳'!G76,'自動車台帳'!$AP76,0)</f>
        <v>#N/A</v>
      </c>
      <c r="F75" s="150" t="e">
        <f ca="1">OFFSET('自動車台帳'!H76,'自動車台帳'!$AP76,0)</f>
        <v>#N/A</v>
      </c>
      <c r="G75" s="148" t="e">
        <f ca="1">OFFSET('自動車台帳'!I76,'自動車台帳'!$AP76,0)</f>
        <v>#N/A</v>
      </c>
      <c r="H75" s="148" t="e">
        <f ca="1">OFFSET('自動車台帳'!J76,'自動車台帳'!$AP76,0)</f>
        <v>#N/A</v>
      </c>
      <c r="I75" s="149" t="e">
        <f ca="1">OFFSET('自動車台帳'!K76,'自動車台帳'!$AP76,0)</f>
        <v>#N/A</v>
      </c>
      <c r="J75" s="151" t="e">
        <f ca="1">OFFSET('自動車台帳'!L76,'自動車台帳'!$AP76,0)</f>
        <v>#N/A</v>
      </c>
      <c r="K75" s="152" t="e">
        <f ca="1">OFFSET('自動車台帳'!M76,'自動車台帳'!$AP76,0)</f>
        <v>#N/A</v>
      </c>
      <c r="L75" s="152" t="e">
        <f ca="1">OFFSET('自動車台帳'!N76,'自動車台帳'!$AP76,0)</f>
        <v>#N/A</v>
      </c>
      <c r="M75" s="148" t="e">
        <f ca="1">OFFSET('自動車台帳'!AB76,'自動車台帳'!$AP76,0)</f>
        <v>#N/A</v>
      </c>
      <c r="N75" s="148" t="e">
        <f ca="1">OFFSET('自動車台帳'!AC76,'自動車台帳'!$AP76,0)</f>
        <v>#N/A</v>
      </c>
      <c r="O75" s="153" t="e">
        <f ca="1">OFFSET('自動車台帳'!AD76,'自動車台帳'!$AP76,0)</f>
        <v>#N/A</v>
      </c>
      <c r="P75" s="154" t="e">
        <f ca="1">OFFSET('自動車台帳'!AE76,'自動車台帳'!$AP76,0)</f>
        <v>#N/A</v>
      </c>
      <c r="Q75" s="154" t="e">
        <f ca="1">OFFSET('自動車台帳'!AF76,'自動車台帳'!$AP76,0)</f>
        <v>#N/A</v>
      </c>
    </row>
    <row r="76" spans="1:17" ht="13.5">
      <c r="A76" s="148" t="e">
        <f ca="1">OFFSET('自動車台帳'!C77,'自動車台帳'!$AP77,0)</f>
        <v>#N/A</v>
      </c>
      <c r="B76" s="148" t="e">
        <f ca="1">OFFSET('自動車台帳'!D77,'自動車台帳'!$AP77,0)</f>
        <v>#N/A</v>
      </c>
      <c r="C76" s="148" t="e">
        <f ca="1">OFFSET('自動車台帳'!E77,'自動車台帳'!$AP77,0)</f>
        <v>#N/A</v>
      </c>
      <c r="D76" s="148" t="e">
        <f ca="1">OFFSET('自動車台帳'!F77,'自動車台帳'!$AP77,0)</f>
        <v>#N/A</v>
      </c>
      <c r="E76" s="149" t="e">
        <f ca="1">OFFSET('自動車台帳'!G77,'自動車台帳'!$AP77,0)</f>
        <v>#N/A</v>
      </c>
      <c r="F76" s="150" t="e">
        <f ca="1">OFFSET('自動車台帳'!H77,'自動車台帳'!$AP77,0)</f>
        <v>#N/A</v>
      </c>
      <c r="G76" s="148" t="e">
        <f ca="1">OFFSET('自動車台帳'!I77,'自動車台帳'!$AP77,0)</f>
        <v>#N/A</v>
      </c>
      <c r="H76" s="148" t="e">
        <f ca="1">OFFSET('自動車台帳'!J77,'自動車台帳'!$AP77,0)</f>
        <v>#N/A</v>
      </c>
      <c r="I76" s="149" t="e">
        <f ca="1">OFFSET('自動車台帳'!K77,'自動車台帳'!$AP77,0)</f>
        <v>#N/A</v>
      </c>
      <c r="J76" s="151" t="e">
        <f ca="1">OFFSET('自動車台帳'!L77,'自動車台帳'!$AP77,0)</f>
        <v>#N/A</v>
      </c>
      <c r="K76" s="152" t="e">
        <f ca="1">OFFSET('自動車台帳'!M77,'自動車台帳'!$AP77,0)</f>
        <v>#N/A</v>
      </c>
      <c r="L76" s="152" t="e">
        <f ca="1">OFFSET('自動車台帳'!N77,'自動車台帳'!$AP77,0)</f>
        <v>#N/A</v>
      </c>
      <c r="M76" s="148" t="e">
        <f ca="1">OFFSET('自動車台帳'!AB77,'自動車台帳'!$AP77,0)</f>
        <v>#N/A</v>
      </c>
      <c r="N76" s="148" t="e">
        <f ca="1">OFFSET('自動車台帳'!AC77,'自動車台帳'!$AP77,0)</f>
        <v>#N/A</v>
      </c>
      <c r="O76" s="153" t="e">
        <f ca="1">OFFSET('自動車台帳'!AD77,'自動車台帳'!$AP77,0)</f>
        <v>#N/A</v>
      </c>
      <c r="P76" s="154" t="e">
        <f ca="1">OFFSET('自動車台帳'!AE77,'自動車台帳'!$AP77,0)</f>
        <v>#N/A</v>
      </c>
      <c r="Q76" s="154" t="e">
        <f ca="1">OFFSET('自動車台帳'!AF77,'自動車台帳'!$AP77,0)</f>
        <v>#N/A</v>
      </c>
    </row>
    <row r="77" spans="1:17" ht="13.5">
      <c r="A77" s="148" t="e">
        <f ca="1">OFFSET('自動車台帳'!C78,'自動車台帳'!$AP78,0)</f>
        <v>#N/A</v>
      </c>
      <c r="B77" s="148" t="e">
        <f ca="1">OFFSET('自動車台帳'!D78,'自動車台帳'!$AP78,0)</f>
        <v>#N/A</v>
      </c>
      <c r="C77" s="148" t="e">
        <f ca="1">OFFSET('自動車台帳'!E78,'自動車台帳'!$AP78,0)</f>
        <v>#N/A</v>
      </c>
      <c r="D77" s="148" t="e">
        <f ca="1">OFFSET('自動車台帳'!F78,'自動車台帳'!$AP78,0)</f>
        <v>#N/A</v>
      </c>
      <c r="E77" s="149" t="e">
        <f ca="1">OFFSET('自動車台帳'!G78,'自動車台帳'!$AP78,0)</f>
        <v>#N/A</v>
      </c>
      <c r="F77" s="150" t="e">
        <f ca="1">OFFSET('自動車台帳'!H78,'自動車台帳'!$AP78,0)</f>
        <v>#N/A</v>
      </c>
      <c r="G77" s="148" t="e">
        <f ca="1">OFFSET('自動車台帳'!I78,'自動車台帳'!$AP78,0)</f>
        <v>#N/A</v>
      </c>
      <c r="H77" s="148" t="e">
        <f ca="1">OFFSET('自動車台帳'!J78,'自動車台帳'!$AP78,0)</f>
        <v>#N/A</v>
      </c>
      <c r="I77" s="149" t="e">
        <f ca="1">OFFSET('自動車台帳'!K78,'自動車台帳'!$AP78,0)</f>
        <v>#N/A</v>
      </c>
      <c r="J77" s="151" t="e">
        <f ca="1">OFFSET('自動車台帳'!L78,'自動車台帳'!$AP78,0)</f>
        <v>#N/A</v>
      </c>
      <c r="K77" s="152" t="e">
        <f ca="1">OFFSET('自動車台帳'!M78,'自動車台帳'!$AP78,0)</f>
        <v>#N/A</v>
      </c>
      <c r="L77" s="152" t="e">
        <f ca="1">OFFSET('自動車台帳'!N78,'自動車台帳'!$AP78,0)</f>
        <v>#N/A</v>
      </c>
      <c r="M77" s="148" t="e">
        <f ca="1">OFFSET('自動車台帳'!AB78,'自動車台帳'!$AP78,0)</f>
        <v>#N/A</v>
      </c>
      <c r="N77" s="148" t="e">
        <f ca="1">OFFSET('自動車台帳'!AC78,'自動車台帳'!$AP78,0)</f>
        <v>#N/A</v>
      </c>
      <c r="O77" s="153" t="e">
        <f ca="1">OFFSET('自動車台帳'!AD78,'自動車台帳'!$AP78,0)</f>
        <v>#N/A</v>
      </c>
      <c r="P77" s="154" t="e">
        <f ca="1">OFFSET('自動車台帳'!AE78,'自動車台帳'!$AP78,0)</f>
        <v>#N/A</v>
      </c>
      <c r="Q77" s="154" t="e">
        <f ca="1">OFFSET('自動車台帳'!AF78,'自動車台帳'!$AP78,0)</f>
        <v>#N/A</v>
      </c>
    </row>
    <row r="78" spans="1:17" ht="13.5">
      <c r="A78" s="148" t="e">
        <f ca="1">OFFSET('自動車台帳'!C79,'自動車台帳'!$AP79,0)</f>
        <v>#N/A</v>
      </c>
      <c r="B78" s="148" t="e">
        <f ca="1">OFFSET('自動車台帳'!D79,'自動車台帳'!$AP79,0)</f>
        <v>#N/A</v>
      </c>
      <c r="C78" s="148" t="e">
        <f ca="1">OFFSET('自動車台帳'!E79,'自動車台帳'!$AP79,0)</f>
        <v>#N/A</v>
      </c>
      <c r="D78" s="148" t="e">
        <f ca="1">OFFSET('自動車台帳'!F79,'自動車台帳'!$AP79,0)</f>
        <v>#N/A</v>
      </c>
      <c r="E78" s="149" t="e">
        <f ca="1">OFFSET('自動車台帳'!G79,'自動車台帳'!$AP79,0)</f>
        <v>#N/A</v>
      </c>
      <c r="F78" s="150" t="e">
        <f ca="1">OFFSET('自動車台帳'!H79,'自動車台帳'!$AP79,0)</f>
        <v>#N/A</v>
      </c>
      <c r="G78" s="148" t="e">
        <f ca="1">OFFSET('自動車台帳'!I79,'自動車台帳'!$AP79,0)</f>
        <v>#N/A</v>
      </c>
      <c r="H78" s="148" t="e">
        <f ca="1">OFFSET('自動車台帳'!J79,'自動車台帳'!$AP79,0)</f>
        <v>#N/A</v>
      </c>
      <c r="I78" s="149" t="e">
        <f ca="1">OFFSET('自動車台帳'!K79,'自動車台帳'!$AP79,0)</f>
        <v>#N/A</v>
      </c>
      <c r="J78" s="151" t="e">
        <f ca="1">OFFSET('自動車台帳'!L79,'自動車台帳'!$AP79,0)</f>
        <v>#N/A</v>
      </c>
      <c r="K78" s="152" t="e">
        <f ca="1">OFFSET('自動車台帳'!M79,'自動車台帳'!$AP79,0)</f>
        <v>#N/A</v>
      </c>
      <c r="L78" s="152" t="e">
        <f ca="1">OFFSET('自動車台帳'!N79,'自動車台帳'!$AP79,0)</f>
        <v>#N/A</v>
      </c>
      <c r="M78" s="148" t="e">
        <f ca="1">OFFSET('自動車台帳'!AB79,'自動車台帳'!$AP79,0)</f>
        <v>#N/A</v>
      </c>
      <c r="N78" s="148" t="e">
        <f ca="1">OFFSET('自動車台帳'!AC79,'自動車台帳'!$AP79,0)</f>
        <v>#N/A</v>
      </c>
      <c r="O78" s="153" t="e">
        <f ca="1">OFFSET('自動車台帳'!AD79,'自動車台帳'!$AP79,0)</f>
        <v>#N/A</v>
      </c>
      <c r="P78" s="154" t="e">
        <f ca="1">OFFSET('自動車台帳'!AE79,'自動車台帳'!$AP79,0)</f>
        <v>#N/A</v>
      </c>
      <c r="Q78" s="154" t="e">
        <f ca="1">OFFSET('自動車台帳'!AF79,'自動車台帳'!$AP79,0)</f>
        <v>#N/A</v>
      </c>
    </row>
    <row r="79" spans="1:17" ht="13.5">
      <c r="A79" s="148" t="e">
        <f ca="1">OFFSET('自動車台帳'!C80,'自動車台帳'!$AP80,0)</f>
        <v>#N/A</v>
      </c>
      <c r="B79" s="148" t="e">
        <f ca="1">OFFSET('自動車台帳'!D80,'自動車台帳'!$AP80,0)</f>
        <v>#N/A</v>
      </c>
      <c r="C79" s="148" t="e">
        <f ca="1">OFFSET('自動車台帳'!E80,'自動車台帳'!$AP80,0)</f>
        <v>#N/A</v>
      </c>
      <c r="D79" s="148" t="e">
        <f ca="1">OFFSET('自動車台帳'!F80,'自動車台帳'!$AP80,0)</f>
        <v>#N/A</v>
      </c>
      <c r="E79" s="149" t="e">
        <f ca="1">OFFSET('自動車台帳'!G80,'自動車台帳'!$AP80,0)</f>
        <v>#N/A</v>
      </c>
      <c r="F79" s="150" t="e">
        <f ca="1">OFFSET('自動車台帳'!H80,'自動車台帳'!$AP80,0)</f>
        <v>#N/A</v>
      </c>
      <c r="G79" s="148" t="e">
        <f ca="1">OFFSET('自動車台帳'!I80,'自動車台帳'!$AP80,0)</f>
        <v>#N/A</v>
      </c>
      <c r="H79" s="148" t="e">
        <f ca="1">OFFSET('自動車台帳'!J80,'自動車台帳'!$AP80,0)</f>
        <v>#N/A</v>
      </c>
      <c r="I79" s="149" t="e">
        <f ca="1">OFFSET('自動車台帳'!K80,'自動車台帳'!$AP80,0)</f>
        <v>#N/A</v>
      </c>
      <c r="J79" s="151" t="e">
        <f ca="1">OFFSET('自動車台帳'!L80,'自動車台帳'!$AP80,0)</f>
        <v>#N/A</v>
      </c>
      <c r="K79" s="152" t="e">
        <f ca="1">OFFSET('自動車台帳'!M80,'自動車台帳'!$AP80,0)</f>
        <v>#N/A</v>
      </c>
      <c r="L79" s="152" t="e">
        <f ca="1">OFFSET('自動車台帳'!N80,'自動車台帳'!$AP80,0)</f>
        <v>#N/A</v>
      </c>
      <c r="M79" s="148" t="e">
        <f ca="1">OFFSET('自動車台帳'!AB80,'自動車台帳'!$AP80,0)</f>
        <v>#N/A</v>
      </c>
      <c r="N79" s="148" t="e">
        <f ca="1">OFFSET('自動車台帳'!AC80,'自動車台帳'!$AP80,0)</f>
        <v>#N/A</v>
      </c>
      <c r="O79" s="153" t="e">
        <f ca="1">OFFSET('自動車台帳'!AD80,'自動車台帳'!$AP80,0)</f>
        <v>#N/A</v>
      </c>
      <c r="P79" s="154" t="e">
        <f ca="1">OFFSET('自動車台帳'!AE80,'自動車台帳'!$AP80,0)</f>
        <v>#N/A</v>
      </c>
      <c r="Q79" s="154" t="e">
        <f ca="1">OFFSET('自動車台帳'!AF80,'自動車台帳'!$AP80,0)</f>
        <v>#N/A</v>
      </c>
    </row>
    <row r="80" spans="1:17" ht="13.5">
      <c r="A80" s="148" t="e">
        <f ca="1">OFFSET('自動車台帳'!C81,'自動車台帳'!$AP81,0)</f>
        <v>#N/A</v>
      </c>
      <c r="B80" s="148" t="e">
        <f ca="1">OFFSET('自動車台帳'!D81,'自動車台帳'!$AP81,0)</f>
        <v>#N/A</v>
      </c>
      <c r="C80" s="148" t="e">
        <f ca="1">OFFSET('自動車台帳'!E81,'自動車台帳'!$AP81,0)</f>
        <v>#N/A</v>
      </c>
      <c r="D80" s="148" t="e">
        <f ca="1">OFFSET('自動車台帳'!F81,'自動車台帳'!$AP81,0)</f>
        <v>#N/A</v>
      </c>
      <c r="E80" s="149" t="e">
        <f ca="1">OFFSET('自動車台帳'!G81,'自動車台帳'!$AP81,0)</f>
        <v>#N/A</v>
      </c>
      <c r="F80" s="150" t="e">
        <f ca="1">OFFSET('自動車台帳'!H81,'自動車台帳'!$AP81,0)</f>
        <v>#N/A</v>
      </c>
      <c r="G80" s="148" t="e">
        <f ca="1">OFFSET('自動車台帳'!I81,'自動車台帳'!$AP81,0)</f>
        <v>#N/A</v>
      </c>
      <c r="H80" s="148" t="e">
        <f ca="1">OFFSET('自動車台帳'!J81,'自動車台帳'!$AP81,0)</f>
        <v>#N/A</v>
      </c>
      <c r="I80" s="149" t="e">
        <f ca="1">OFFSET('自動車台帳'!K81,'自動車台帳'!$AP81,0)</f>
        <v>#N/A</v>
      </c>
      <c r="J80" s="151" t="e">
        <f ca="1">OFFSET('自動車台帳'!L81,'自動車台帳'!$AP81,0)</f>
        <v>#N/A</v>
      </c>
      <c r="K80" s="152" t="e">
        <f ca="1">OFFSET('自動車台帳'!M81,'自動車台帳'!$AP81,0)</f>
        <v>#N/A</v>
      </c>
      <c r="L80" s="152" t="e">
        <f ca="1">OFFSET('自動車台帳'!N81,'自動車台帳'!$AP81,0)</f>
        <v>#N/A</v>
      </c>
      <c r="M80" s="148" t="e">
        <f ca="1">OFFSET('自動車台帳'!AB81,'自動車台帳'!$AP81,0)</f>
        <v>#N/A</v>
      </c>
      <c r="N80" s="148" t="e">
        <f ca="1">OFFSET('自動車台帳'!AC81,'自動車台帳'!$AP81,0)</f>
        <v>#N/A</v>
      </c>
      <c r="O80" s="153" t="e">
        <f ca="1">OFFSET('自動車台帳'!AD81,'自動車台帳'!$AP81,0)</f>
        <v>#N/A</v>
      </c>
      <c r="P80" s="154" t="e">
        <f ca="1">OFFSET('自動車台帳'!AE81,'自動車台帳'!$AP81,0)</f>
        <v>#N/A</v>
      </c>
      <c r="Q80" s="154" t="e">
        <f ca="1">OFFSET('自動車台帳'!AF81,'自動車台帳'!$AP81,0)</f>
        <v>#N/A</v>
      </c>
    </row>
    <row r="81" spans="1:17" ht="13.5">
      <c r="A81" s="148" t="e">
        <f ca="1">OFFSET('自動車台帳'!C82,'自動車台帳'!$AP82,0)</f>
        <v>#N/A</v>
      </c>
      <c r="B81" s="148" t="e">
        <f ca="1">OFFSET('自動車台帳'!D82,'自動車台帳'!$AP82,0)</f>
        <v>#N/A</v>
      </c>
      <c r="C81" s="148" t="e">
        <f ca="1">OFFSET('自動車台帳'!E82,'自動車台帳'!$AP82,0)</f>
        <v>#N/A</v>
      </c>
      <c r="D81" s="148" t="e">
        <f ca="1">OFFSET('自動車台帳'!F82,'自動車台帳'!$AP82,0)</f>
        <v>#N/A</v>
      </c>
      <c r="E81" s="149" t="e">
        <f ca="1">OFFSET('自動車台帳'!G82,'自動車台帳'!$AP82,0)</f>
        <v>#N/A</v>
      </c>
      <c r="F81" s="150" t="e">
        <f ca="1">OFFSET('自動車台帳'!H82,'自動車台帳'!$AP82,0)</f>
        <v>#N/A</v>
      </c>
      <c r="G81" s="148" t="e">
        <f ca="1">OFFSET('自動車台帳'!I82,'自動車台帳'!$AP82,0)</f>
        <v>#N/A</v>
      </c>
      <c r="H81" s="148" t="e">
        <f ca="1">OFFSET('自動車台帳'!J82,'自動車台帳'!$AP82,0)</f>
        <v>#N/A</v>
      </c>
      <c r="I81" s="149" t="e">
        <f ca="1">OFFSET('自動車台帳'!K82,'自動車台帳'!$AP82,0)</f>
        <v>#N/A</v>
      </c>
      <c r="J81" s="151" t="e">
        <f ca="1">OFFSET('自動車台帳'!L82,'自動車台帳'!$AP82,0)</f>
        <v>#N/A</v>
      </c>
      <c r="K81" s="152" t="e">
        <f ca="1">OFFSET('自動車台帳'!M82,'自動車台帳'!$AP82,0)</f>
        <v>#N/A</v>
      </c>
      <c r="L81" s="152" t="e">
        <f ca="1">OFFSET('自動車台帳'!N82,'自動車台帳'!$AP82,0)</f>
        <v>#N/A</v>
      </c>
      <c r="M81" s="148" t="e">
        <f ca="1">OFFSET('自動車台帳'!AB82,'自動車台帳'!$AP82,0)</f>
        <v>#N/A</v>
      </c>
      <c r="N81" s="148" t="e">
        <f ca="1">OFFSET('自動車台帳'!AC82,'自動車台帳'!$AP82,0)</f>
        <v>#N/A</v>
      </c>
      <c r="O81" s="153" t="e">
        <f ca="1">OFFSET('自動車台帳'!AD82,'自動車台帳'!$AP82,0)</f>
        <v>#N/A</v>
      </c>
      <c r="P81" s="154" t="e">
        <f ca="1">OFFSET('自動車台帳'!AE82,'自動車台帳'!$AP82,0)</f>
        <v>#N/A</v>
      </c>
      <c r="Q81" s="154" t="e">
        <f ca="1">OFFSET('自動車台帳'!AF82,'自動車台帳'!$AP82,0)</f>
        <v>#N/A</v>
      </c>
    </row>
    <row r="82" spans="1:17" ht="13.5">
      <c r="A82" s="148" t="e">
        <f ca="1">OFFSET('自動車台帳'!C83,'自動車台帳'!$AP83,0)</f>
        <v>#N/A</v>
      </c>
      <c r="B82" s="148" t="e">
        <f ca="1">OFFSET('自動車台帳'!D83,'自動車台帳'!$AP83,0)</f>
        <v>#N/A</v>
      </c>
      <c r="C82" s="148" t="e">
        <f ca="1">OFFSET('自動車台帳'!E83,'自動車台帳'!$AP83,0)</f>
        <v>#N/A</v>
      </c>
      <c r="D82" s="148" t="e">
        <f ca="1">OFFSET('自動車台帳'!F83,'自動車台帳'!$AP83,0)</f>
        <v>#N/A</v>
      </c>
      <c r="E82" s="149" t="e">
        <f ca="1">OFFSET('自動車台帳'!G83,'自動車台帳'!$AP83,0)</f>
        <v>#N/A</v>
      </c>
      <c r="F82" s="150" t="e">
        <f ca="1">OFFSET('自動車台帳'!H83,'自動車台帳'!$AP83,0)</f>
        <v>#N/A</v>
      </c>
      <c r="G82" s="148" t="e">
        <f ca="1">OFFSET('自動車台帳'!I83,'自動車台帳'!$AP83,0)</f>
        <v>#N/A</v>
      </c>
      <c r="H82" s="148" t="e">
        <f ca="1">OFFSET('自動車台帳'!J83,'自動車台帳'!$AP83,0)</f>
        <v>#N/A</v>
      </c>
      <c r="I82" s="149" t="e">
        <f ca="1">OFFSET('自動車台帳'!K83,'自動車台帳'!$AP83,0)</f>
        <v>#N/A</v>
      </c>
      <c r="J82" s="151" t="e">
        <f ca="1">OFFSET('自動車台帳'!L83,'自動車台帳'!$AP83,0)</f>
        <v>#N/A</v>
      </c>
      <c r="K82" s="152" t="e">
        <f ca="1">OFFSET('自動車台帳'!M83,'自動車台帳'!$AP83,0)</f>
        <v>#N/A</v>
      </c>
      <c r="L82" s="152" t="e">
        <f ca="1">OFFSET('自動車台帳'!N83,'自動車台帳'!$AP83,0)</f>
        <v>#N/A</v>
      </c>
      <c r="M82" s="148" t="e">
        <f ca="1">OFFSET('自動車台帳'!AB83,'自動車台帳'!$AP83,0)</f>
        <v>#N/A</v>
      </c>
      <c r="N82" s="148" t="e">
        <f ca="1">OFFSET('自動車台帳'!AC83,'自動車台帳'!$AP83,0)</f>
        <v>#N/A</v>
      </c>
      <c r="O82" s="153" t="e">
        <f ca="1">OFFSET('自動車台帳'!AD83,'自動車台帳'!$AP83,0)</f>
        <v>#N/A</v>
      </c>
      <c r="P82" s="154" t="e">
        <f ca="1">OFFSET('自動車台帳'!AE83,'自動車台帳'!$AP83,0)</f>
        <v>#N/A</v>
      </c>
      <c r="Q82" s="154" t="e">
        <f ca="1">OFFSET('自動車台帳'!AF83,'自動車台帳'!$AP83,0)</f>
        <v>#N/A</v>
      </c>
    </row>
    <row r="83" spans="1:17" ht="13.5">
      <c r="A83" s="148" t="e">
        <f ca="1">OFFSET('自動車台帳'!C84,'自動車台帳'!$AP84,0)</f>
        <v>#N/A</v>
      </c>
      <c r="B83" s="148" t="e">
        <f ca="1">OFFSET('自動車台帳'!D84,'自動車台帳'!$AP84,0)</f>
        <v>#N/A</v>
      </c>
      <c r="C83" s="148" t="e">
        <f ca="1">OFFSET('自動車台帳'!E84,'自動車台帳'!$AP84,0)</f>
        <v>#N/A</v>
      </c>
      <c r="D83" s="148" t="e">
        <f ca="1">OFFSET('自動車台帳'!F84,'自動車台帳'!$AP84,0)</f>
        <v>#N/A</v>
      </c>
      <c r="E83" s="149" t="e">
        <f ca="1">OFFSET('自動車台帳'!G84,'自動車台帳'!$AP84,0)</f>
        <v>#N/A</v>
      </c>
      <c r="F83" s="150" t="e">
        <f ca="1">OFFSET('自動車台帳'!H84,'自動車台帳'!$AP84,0)</f>
        <v>#N/A</v>
      </c>
      <c r="G83" s="148" t="e">
        <f ca="1">OFFSET('自動車台帳'!I84,'自動車台帳'!$AP84,0)</f>
        <v>#N/A</v>
      </c>
      <c r="H83" s="148" t="e">
        <f ca="1">OFFSET('自動車台帳'!J84,'自動車台帳'!$AP84,0)</f>
        <v>#N/A</v>
      </c>
      <c r="I83" s="149" t="e">
        <f ca="1">OFFSET('自動車台帳'!K84,'自動車台帳'!$AP84,0)</f>
        <v>#N/A</v>
      </c>
      <c r="J83" s="151" t="e">
        <f ca="1">OFFSET('自動車台帳'!L84,'自動車台帳'!$AP84,0)</f>
        <v>#N/A</v>
      </c>
      <c r="K83" s="152" t="e">
        <f ca="1">OFFSET('自動車台帳'!M84,'自動車台帳'!$AP84,0)</f>
        <v>#N/A</v>
      </c>
      <c r="L83" s="152" t="e">
        <f ca="1">OFFSET('自動車台帳'!N84,'自動車台帳'!$AP84,0)</f>
        <v>#N/A</v>
      </c>
      <c r="M83" s="148" t="e">
        <f ca="1">OFFSET('自動車台帳'!AB84,'自動車台帳'!$AP84,0)</f>
        <v>#N/A</v>
      </c>
      <c r="N83" s="148" t="e">
        <f ca="1">OFFSET('自動車台帳'!AC84,'自動車台帳'!$AP84,0)</f>
        <v>#N/A</v>
      </c>
      <c r="O83" s="153" t="e">
        <f ca="1">OFFSET('自動車台帳'!AD84,'自動車台帳'!$AP84,0)</f>
        <v>#N/A</v>
      </c>
      <c r="P83" s="154" t="e">
        <f ca="1">OFFSET('自動車台帳'!AE84,'自動車台帳'!$AP84,0)</f>
        <v>#N/A</v>
      </c>
      <c r="Q83" s="154" t="e">
        <f ca="1">OFFSET('自動車台帳'!AF84,'自動車台帳'!$AP84,0)</f>
        <v>#N/A</v>
      </c>
    </row>
    <row r="84" spans="1:17" ht="13.5">
      <c r="A84" s="148" t="e">
        <f ca="1">OFFSET('自動車台帳'!C85,'自動車台帳'!$AP85,0)</f>
        <v>#N/A</v>
      </c>
      <c r="B84" s="148" t="e">
        <f ca="1">OFFSET('自動車台帳'!D85,'自動車台帳'!$AP85,0)</f>
        <v>#N/A</v>
      </c>
      <c r="C84" s="148" t="e">
        <f ca="1">OFFSET('自動車台帳'!E85,'自動車台帳'!$AP85,0)</f>
        <v>#N/A</v>
      </c>
      <c r="D84" s="148" t="e">
        <f ca="1">OFFSET('自動車台帳'!F85,'自動車台帳'!$AP85,0)</f>
        <v>#N/A</v>
      </c>
      <c r="E84" s="149" t="e">
        <f ca="1">OFFSET('自動車台帳'!G85,'自動車台帳'!$AP85,0)</f>
        <v>#N/A</v>
      </c>
      <c r="F84" s="150" t="e">
        <f ca="1">OFFSET('自動車台帳'!H85,'自動車台帳'!$AP85,0)</f>
        <v>#N/A</v>
      </c>
      <c r="G84" s="148" t="e">
        <f ca="1">OFFSET('自動車台帳'!I85,'自動車台帳'!$AP85,0)</f>
        <v>#N/A</v>
      </c>
      <c r="H84" s="148" t="e">
        <f ca="1">OFFSET('自動車台帳'!J85,'自動車台帳'!$AP85,0)</f>
        <v>#N/A</v>
      </c>
      <c r="I84" s="149" t="e">
        <f ca="1">OFFSET('自動車台帳'!K85,'自動車台帳'!$AP85,0)</f>
        <v>#N/A</v>
      </c>
      <c r="J84" s="151" t="e">
        <f ca="1">OFFSET('自動車台帳'!L85,'自動車台帳'!$AP85,0)</f>
        <v>#N/A</v>
      </c>
      <c r="K84" s="152" t="e">
        <f ca="1">OFFSET('自動車台帳'!M85,'自動車台帳'!$AP85,0)</f>
        <v>#N/A</v>
      </c>
      <c r="L84" s="152" t="e">
        <f ca="1">OFFSET('自動車台帳'!N85,'自動車台帳'!$AP85,0)</f>
        <v>#N/A</v>
      </c>
      <c r="M84" s="148" t="e">
        <f ca="1">OFFSET('自動車台帳'!AB85,'自動車台帳'!$AP85,0)</f>
        <v>#N/A</v>
      </c>
      <c r="N84" s="148" t="e">
        <f ca="1">OFFSET('自動車台帳'!AC85,'自動車台帳'!$AP85,0)</f>
        <v>#N/A</v>
      </c>
      <c r="O84" s="153" t="e">
        <f ca="1">OFFSET('自動車台帳'!AD85,'自動車台帳'!$AP85,0)</f>
        <v>#N/A</v>
      </c>
      <c r="P84" s="154" t="e">
        <f ca="1">OFFSET('自動車台帳'!AE85,'自動車台帳'!$AP85,0)</f>
        <v>#N/A</v>
      </c>
      <c r="Q84" s="154" t="e">
        <f ca="1">OFFSET('自動車台帳'!AF85,'自動車台帳'!$AP85,0)</f>
        <v>#N/A</v>
      </c>
    </row>
    <row r="85" spans="1:17" ht="13.5">
      <c r="A85" s="148" t="e">
        <f ca="1">OFFSET('自動車台帳'!C86,'自動車台帳'!$AP86,0)</f>
        <v>#N/A</v>
      </c>
      <c r="B85" s="148" t="e">
        <f ca="1">OFFSET('自動車台帳'!D86,'自動車台帳'!$AP86,0)</f>
        <v>#N/A</v>
      </c>
      <c r="C85" s="148" t="e">
        <f ca="1">OFFSET('自動車台帳'!E86,'自動車台帳'!$AP86,0)</f>
        <v>#N/A</v>
      </c>
      <c r="D85" s="148" t="e">
        <f ca="1">OFFSET('自動車台帳'!F86,'自動車台帳'!$AP86,0)</f>
        <v>#N/A</v>
      </c>
      <c r="E85" s="149" t="e">
        <f ca="1">OFFSET('自動車台帳'!G86,'自動車台帳'!$AP86,0)</f>
        <v>#N/A</v>
      </c>
      <c r="F85" s="150" t="e">
        <f ca="1">OFFSET('自動車台帳'!H86,'自動車台帳'!$AP86,0)</f>
        <v>#N/A</v>
      </c>
      <c r="G85" s="148" t="e">
        <f ca="1">OFFSET('自動車台帳'!I86,'自動車台帳'!$AP86,0)</f>
        <v>#N/A</v>
      </c>
      <c r="H85" s="148" t="e">
        <f ca="1">OFFSET('自動車台帳'!J86,'自動車台帳'!$AP86,0)</f>
        <v>#N/A</v>
      </c>
      <c r="I85" s="149" t="e">
        <f ca="1">OFFSET('自動車台帳'!K86,'自動車台帳'!$AP86,0)</f>
        <v>#N/A</v>
      </c>
      <c r="J85" s="151" t="e">
        <f ca="1">OFFSET('自動車台帳'!L86,'自動車台帳'!$AP86,0)</f>
        <v>#N/A</v>
      </c>
      <c r="K85" s="152" t="e">
        <f ca="1">OFFSET('自動車台帳'!M86,'自動車台帳'!$AP86,0)</f>
        <v>#N/A</v>
      </c>
      <c r="L85" s="152" t="e">
        <f ca="1">OFFSET('自動車台帳'!N86,'自動車台帳'!$AP86,0)</f>
        <v>#N/A</v>
      </c>
      <c r="M85" s="148" t="e">
        <f ca="1">OFFSET('自動車台帳'!AB86,'自動車台帳'!$AP86,0)</f>
        <v>#N/A</v>
      </c>
      <c r="N85" s="148" t="e">
        <f ca="1">OFFSET('自動車台帳'!AC86,'自動車台帳'!$AP86,0)</f>
        <v>#N/A</v>
      </c>
      <c r="O85" s="153" t="e">
        <f ca="1">OFFSET('自動車台帳'!AD86,'自動車台帳'!$AP86,0)</f>
        <v>#N/A</v>
      </c>
      <c r="P85" s="154" t="e">
        <f ca="1">OFFSET('自動車台帳'!AE86,'自動車台帳'!$AP86,0)</f>
        <v>#N/A</v>
      </c>
      <c r="Q85" s="154" t="e">
        <f ca="1">OFFSET('自動車台帳'!AF86,'自動車台帳'!$AP86,0)</f>
        <v>#N/A</v>
      </c>
    </row>
    <row r="86" spans="1:17" ht="13.5">
      <c r="A86" s="148" t="e">
        <f ca="1">OFFSET('自動車台帳'!C87,'自動車台帳'!$AP87,0)</f>
        <v>#N/A</v>
      </c>
      <c r="B86" s="148" t="e">
        <f ca="1">OFFSET('自動車台帳'!D87,'自動車台帳'!$AP87,0)</f>
        <v>#N/A</v>
      </c>
      <c r="C86" s="148" t="e">
        <f ca="1">OFFSET('自動車台帳'!E87,'自動車台帳'!$AP87,0)</f>
        <v>#N/A</v>
      </c>
      <c r="D86" s="148" t="e">
        <f ca="1">OFFSET('自動車台帳'!F87,'自動車台帳'!$AP87,0)</f>
        <v>#N/A</v>
      </c>
      <c r="E86" s="149" t="e">
        <f ca="1">OFFSET('自動車台帳'!G87,'自動車台帳'!$AP87,0)</f>
        <v>#N/A</v>
      </c>
      <c r="F86" s="150" t="e">
        <f ca="1">OFFSET('自動車台帳'!H87,'自動車台帳'!$AP87,0)</f>
        <v>#N/A</v>
      </c>
      <c r="G86" s="148" t="e">
        <f ca="1">OFFSET('自動車台帳'!I87,'自動車台帳'!$AP87,0)</f>
        <v>#N/A</v>
      </c>
      <c r="H86" s="148" t="e">
        <f ca="1">OFFSET('自動車台帳'!J87,'自動車台帳'!$AP87,0)</f>
        <v>#N/A</v>
      </c>
      <c r="I86" s="149" t="e">
        <f ca="1">OFFSET('自動車台帳'!K87,'自動車台帳'!$AP87,0)</f>
        <v>#N/A</v>
      </c>
      <c r="J86" s="151" t="e">
        <f ca="1">OFFSET('自動車台帳'!L87,'自動車台帳'!$AP87,0)</f>
        <v>#N/A</v>
      </c>
      <c r="K86" s="152" t="e">
        <f ca="1">OFFSET('自動車台帳'!M87,'自動車台帳'!$AP87,0)</f>
        <v>#N/A</v>
      </c>
      <c r="L86" s="152" t="e">
        <f ca="1">OFFSET('自動車台帳'!N87,'自動車台帳'!$AP87,0)</f>
        <v>#N/A</v>
      </c>
      <c r="M86" s="148" t="e">
        <f ca="1">OFFSET('自動車台帳'!AB87,'自動車台帳'!$AP87,0)</f>
        <v>#N/A</v>
      </c>
      <c r="N86" s="148" t="e">
        <f ca="1">OFFSET('自動車台帳'!AC87,'自動車台帳'!$AP87,0)</f>
        <v>#N/A</v>
      </c>
      <c r="O86" s="153" t="e">
        <f ca="1">OFFSET('自動車台帳'!AD87,'自動車台帳'!$AP87,0)</f>
        <v>#N/A</v>
      </c>
      <c r="P86" s="154" t="e">
        <f ca="1">OFFSET('自動車台帳'!AE87,'自動車台帳'!$AP87,0)</f>
        <v>#N/A</v>
      </c>
      <c r="Q86" s="154" t="e">
        <f ca="1">OFFSET('自動車台帳'!AF87,'自動車台帳'!$AP87,0)</f>
        <v>#N/A</v>
      </c>
    </row>
    <row r="87" spans="1:17" ht="13.5">
      <c r="A87" s="148" t="e">
        <f ca="1">OFFSET('自動車台帳'!C88,'自動車台帳'!$AP88,0)</f>
        <v>#N/A</v>
      </c>
      <c r="B87" s="148" t="e">
        <f ca="1">OFFSET('自動車台帳'!D88,'自動車台帳'!$AP88,0)</f>
        <v>#N/A</v>
      </c>
      <c r="C87" s="148" t="e">
        <f ca="1">OFFSET('自動車台帳'!E88,'自動車台帳'!$AP88,0)</f>
        <v>#N/A</v>
      </c>
      <c r="D87" s="148" t="e">
        <f ca="1">OFFSET('自動車台帳'!F88,'自動車台帳'!$AP88,0)</f>
        <v>#N/A</v>
      </c>
      <c r="E87" s="149" t="e">
        <f ca="1">OFFSET('自動車台帳'!G88,'自動車台帳'!$AP88,0)</f>
        <v>#N/A</v>
      </c>
      <c r="F87" s="150" t="e">
        <f ca="1">OFFSET('自動車台帳'!H88,'自動車台帳'!$AP88,0)</f>
        <v>#N/A</v>
      </c>
      <c r="G87" s="148" t="e">
        <f ca="1">OFFSET('自動車台帳'!I88,'自動車台帳'!$AP88,0)</f>
        <v>#N/A</v>
      </c>
      <c r="H87" s="148" t="e">
        <f ca="1">OFFSET('自動車台帳'!J88,'自動車台帳'!$AP88,0)</f>
        <v>#N/A</v>
      </c>
      <c r="I87" s="149" t="e">
        <f ca="1">OFFSET('自動車台帳'!K88,'自動車台帳'!$AP88,0)</f>
        <v>#N/A</v>
      </c>
      <c r="J87" s="151" t="e">
        <f ca="1">OFFSET('自動車台帳'!L88,'自動車台帳'!$AP88,0)</f>
        <v>#N/A</v>
      </c>
      <c r="K87" s="152" t="e">
        <f ca="1">OFFSET('自動車台帳'!M88,'自動車台帳'!$AP88,0)</f>
        <v>#N/A</v>
      </c>
      <c r="L87" s="152" t="e">
        <f ca="1">OFFSET('自動車台帳'!N88,'自動車台帳'!$AP88,0)</f>
        <v>#N/A</v>
      </c>
      <c r="M87" s="148" t="e">
        <f ca="1">OFFSET('自動車台帳'!AB88,'自動車台帳'!$AP88,0)</f>
        <v>#N/A</v>
      </c>
      <c r="N87" s="148" t="e">
        <f ca="1">OFFSET('自動車台帳'!AC88,'自動車台帳'!$AP88,0)</f>
        <v>#N/A</v>
      </c>
      <c r="O87" s="153" t="e">
        <f ca="1">OFFSET('自動車台帳'!AD88,'自動車台帳'!$AP88,0)</f>
        <v>#N/A</v>
      </c>
      <c r="P87" s="154" t="e">
        <f ca="1">OFFSET('自動車台帳'!AE88,'自動車台帳'!$AP88,0)</f>
        <v>#N/A</v>
      </c>
      <c r="Q87" s="154" t="e">
        <f ca="1">OFFSET('自動車台帳'!AF88,'自動車台帳'!$AP88,0)</f>
        <v>#N/A</v>
      </c>
    </row>
    <row r="88" spans="1:17" ht="13.5">
      <c r="A88" s="148" t="e">
        <f ca="1">OFFSET('自動車台帳'!C89,'自動車台帳'!$AP89,0)</f>
        <v>#N/A</v>
      </c>
      <c r="B88" s="148" t="e">
        <f ca="1">OFFSET('自動車台帳'!D89,'自動車台帳'!$AP89,0)</f>
        <v>#N/A</v>
      </c>
      <c r="C88" s="148" t="e">
        <f ca="1">OFFSET('自動車台帳'!E89,'自動車台帳'!$AP89,0)</f>
        <v>#N/A</v>
      </c>
      <c r="D88" s="148" t="e">
        <f ca="1">OFFSET('自動車台帳'!F89,'自動車台帳'!$AP89,0)</f>
        <v>#N/A</v>
      </c>
      <c r="E88" s="149" t="e">
        <f ca="1">OFFSET('自動車台帳'!G89,'自動車台帳'!$AP89,0)</f>
        <v>#N/A</v>
      </c>
      <c r="F88" s="150" t="e">
        <f ca="1">OFFSET('自動車台帳'!H89,'自動車台帳'!$AP89,0)</f>
        <v>#N/A</v>
      </c>
      <c r="G88" s="148" t="e">
        <f ca="1">OFFSET('自動車台帳'!I89,'自動車台帳'!$AP89,0)</f>
        <v>#N/A</v>
      </c>
      <c r="H88" s="148" t="e">
        <f ca="1">OFFSET('自動車台帳'!J89,'自動車台帳'!$AP89,0)</f>
        <v>#N/A</v>
      </c>
      <c r="I88" s="149" t="e">
        <f ca="1">OFFSET('自動車台帳'!K89,'自動車台帳'!$AP89,0)</f>
        <v>#N/A</v>
      </c>
      <c r="J88" s="151" t="e">
        <f ca="1">OFFSET('自動車台帳'!L89,'自動車台帳'!$AP89,0)</f>
        <v>#N/A</v>
      </c>
      <c r="K88" s="152" t="e">
        <f ca="1">OFFSET('自動車台帳'!M89,'自動車台帳'!$AP89,0)</f>
        <v>#N/A</v>
      </c>
      <c r="L88" s="152" t="e">
        <f ca="1">OFFSET('自動車台帳'!N89,'自動車台帳'!$AP89,0)</f>
        <v>#N/A</v>
      </c>
      <c r="M88" s="148" t="e">
        <f ca="1">OFFSET('自動車台帳'!AB89,'自動車台帳'!$AP89,0)</f>
        <v>#N/A</v>
      </c>
      <c r="N88" s="148" t="e">
        <f ca="1">OFFSET('自動車台帳'!AC89,'自動車台帳'!$AP89,0)</f>
        <v>#N/A</v>
      </c>
      <c r="O88" s="153" t="e">
        <f ca="1">OFFSET('自動車台帳'!AD89,'自動車台帳'!$AP89,0)</f>
        <v>#N/A</v>
      </c>
      <c r="P88" s="154" t="e">
        <f ca="1">OFFSET('自動車台帳'!AE89,'自動車台帳'!$AP89,0)</f>
        <v>#N/A</v>
      </c>
      <c r="Q88" s="154" t="e">
        <f ca="1">OFFSET('自動車台帳'!AF89,'自動車台帳'!$AP89,0)</f>
        <v>#N/A</v>
      </c>
    </row>
    <row r="89" spans="1:17" ht="13.5">
      <c r="A89" s="148" t="e">
        <f ca="1">OFFSET('自動車台帳'!C90,'自動車台帳'!$AP90,0)</f>
        <v>#N/A</v>
      </c>
      <c r="B89" s="148" t="e">
        <f ca="1">OFFSET('自動車台帳'!D90,'自動車台帳'!$AP90,0)</f>
        <v>#N/A</v>
      </c>
      <c r="C89" s="148" t="e">
        <f ca="1">OFFSET('自動車台帳'!E90,'自動車台帳'!$AP90,0)</f>
        <v>#N/A</v>
      </c>
      <c r="D89" s="148" t="e">
        <f ca="1">OFFSET('自動車台帳'!F90,'自動車台帳'!$AP90,0)</f>
        <v>#N/A</v>
      </c>
      <c r="E89" s="149" t="e">
        <f ca="1">OFFSET('自動車台帳'!G90,'自動車台帳'!$AP90,0)</f>
        <v>#N/A</v>
      </c>
      <c r="F89" s="150" t="e">
        <f ca="1">OFFSET('自動車台帳'!H90,'自動車台帳'!$AP90,0)</f>
        <v>#N/A</v>
      </c>
      <c r="G89" s="148" t="e">
        <f ca="1">OFFSET('自動車台帳'!I90,'自動車台帳'!$AP90,0)</f>
        <v>#N/A</v>
      </c>
      <c r="H89" s="148" t="e">
        <f ca="1">OFFSET('自動車台帳'!J90,'自動車台帳'!$AP90,0)</f>
        <v>#N/A</v>
      </c>
      <c r="I89" s="149" t="e">
        <f ca="1">OFFSET('自動車台帳'!K90,'自動車台帳'!$AP90,0)</f>
        <v>#N/A</v>
      </c>
      <c r="J89" s="151" t="e">
        <f ca="1">OFFSET('自動車台帳'!L90,'自動車台帳'!$AP90,0)</f>
        <v>#N/A</v>
      </c>
      <c r="K89" s="152" t="e">
        <f ca="1">OFFSET('自動車台帳'!M90,'自動車台帳'!$AP90,0)</f>
        <v>#N/A</v>
      </c>
      <c r="L89" s="152" t="e">
        <f ca="1">OFFSET('自動車台帳'!N90,'自動車台帳'!$AP90,0)</f>
        <v>#N/A</v>
      </c>
      <c r="M89" s="148" t="e">
        <f ca="1">OFFSET('自動車台帳'!AB90,'自動車台帳'!$AP90,0)</f>
        <v>#N/A</v>
      </c>
      <c r="N89" s="148" t="e">
        <f ca="1">OFFSET('自動車台帳'!AC90,'自動車台帳'!$AP90,0)</f>
        <v>#N/A</v>
      </c>
      <c r="O89" s="153" t="e">
        <f ca="1">OFFSET('自動車台帳'!AD90,'自動車台帳'!$AP90,0)</f>
        <v>#N/A</v>
      </c>
      <c r="P89" s="154" t="e">
        <f ca="1">OFFSET('自動車台帳'!AE90,'自動車台帳'!$AP90,0)</f>
        <v>#N/A</v>
      </c>
      <c r="Q89" s="154" t="e">
        <f ca="1">OFFSET('自動車台帳'!AF90,'自動車台帳'!$AP90,0)</f>
        <v>#N/A</v>
      </c>
    </row>
    <row r="90" spans="1:17" ht="13.5">
      <c r="A90" s="148" t="e">
        <f ca="1">OFFSET('自動車台帳'!C91,'自動車台帳'!$AP91,0)</f>
        <v>#N/A</v>
      </c>
      <c r="B90" s="148" t="e">
        <f ca="1">OFFSET('自動車台帳'!D91,'自動車台帳'!$AP91,0)</f>
        <v>#N/A</v>
      </c>
      <c r="C90" s="148" t="e">
        <f ca="1">OFFSET('自動車台帳'!E91,'自動車台帳'!$AP91,0)</f>
        <v>#N/A</v>
      </c>
      <c r="D90" s="148" t="e">
        <f ca="1">OFFSET('自動車台帳'!F91,'自動車台帳'!$AP91,0)</f>
        <v>#N/A</v>
      </c>
      <c r="E90" s="149" t="e">
        <f ca="1">OFFSET('自動車台帳'!G91,'自動車台帳'!$AP91,0)</f>
        <v>#N/A</v>
      </c>
      <c r="F90" s="150" t="e">
        <f ca="1">OFFSET('自動車台帳'!H91,'自動車台帳'!$AP91,0)</f>
        <v>#N/A</v>
      </c>
      <c r="G90" s="148" t="e">
        <f ca="1">OFFSET('自動車台帳'!I91,'自動車台帳'!$AP91,0)</f>
        <v>#N/A</v>
      </c>
      <c r="H90" s="148" t="e">
        <f ca="1">OFFSET('自動車台帳'!J91,'自動車台帳'!$AP91,0)</f>
        <v>#N/A</v>
      </c>
      <c r="I90" s="149" t="e">
        <f ca="1">OFFSET('自動車台帳'!K91,'自動車台帳'!$AP91,0)</f>
        <v>#N/A</v>
      </c>
      <c r="J90" s="151" t="e">
        <f ca="1">OFFSET('自動車台帳'!L91,'自動車台帳'!$AP91,0)</f>
        <v>#N/A</v>
      </c>
      <c r="K90" s="152" t="e">
        <f ca="1">OFFSET('自動車台帳'!M91,'自動車台帳'!$AP91,0)</f>
        <v>#N/A</v>
      </c>
      <c r="L90" s="152" t="e">
        <f ca="1">OFFSET('自動車台帳'!N91,'自動車台帳'!$AP91,0)</f>
        <v>#N/A</v>
      </c>
      <c r="M90" s="148" t="e">
        <f ca="1">OFFSET('自動車台帳'!AB91,'自動車台帳'!$AP91,0)</f>
        <v>#N/A</v>
      </c>
      <c r="N90" s="148" t="e">
        <f ca="1">OFFSET('自動車台帳'!AC91,'自動車台帳'!$AP91,0)</f>
        <v>#N/A</v>
      </c>
      <c r="O90" s="153" t="e">
        <f ca="1">OFFSET('自動車台帳'!AD91,'自動車台帳'!$AP91,0)</f>
        <v>#N/A</v>
      </c>
      <c r="P90" s="154" t="e">
        <f ca="1">OFFSET('自動車台帳'!AE91,'自動車台帳'!$AP91,0)</f>
        <v>#N/A</v>
      </c>
      <c r="Q90" s="154" t="e">
        <f ca="1">OFFSET('自動車台帳'!AF91,'自動車台帳'!$AP91,0)</f>
        <v>#N/A</v>
      </c>
    </row>
    <row r="91" spans="1:17" ht="13.5">
      <c r="A91" s="148" t="e">
        <f ca="1">OFFSET('自動車台帳'!C92,'自動車台帳'!$AP92,0)</f>
        <v>#N/A</v>
      </c>
      <c r="B91" s="148" t="e">
        <f ca="1">OFFSET('自動車台帳'!D92,'自動車台帳'!$AP92,0)</f>
        <v>#N/A</v>
      </c>
      <c r="C91" s="148" t="e">
        <f ca="1">OFFSET('自動車台帳'!E92,'自動車台帳'!$AP92,0)</f>
        <v>#N/A</v>
      </c>
      <c r="D91" s="148" t="e">
        <f ca="1">OFFSET('自動車台帳'!F92,'自動車台帳'!$AP92,0)</f>
        <v>#N/A</v>
      </c>
      <c r="E91" s="149" t="e">
        <f ca="1">OFFSET('自動車台帳'!G92,'自動車台帳'!$AP92,0)</f>
        <v>#N/A</v>
      </c>
      <c r="F91" s="150" t="e">
        <f ca="1">OFFSET('自動車台帳'!H92,'自動車台帳'!$AP92,0)</f>
        <v>#N/A</v>
      </c>
      <c r="G91" s="148" t="e">
        <f ca="1">OFFSET('自動車台帳'!I92,'自動車台帳'!$AP92,0)</f>
        <v>#N/A</v>
      </c>
      <c r="H91" s="148" t="e">
        <f ca="1">OFFSET('自動車台帳'!J92,'自動車台帳'!$AP92,0)</f>
        <v>#N/A</v>
      </c>
      <c r="I91" s="149" t="e">
        <f ca="1">OFFSET('自動車台帳'!K92,'自動車台帳'!$AP92,0)</f>
        <v>#N/A</v>
      </c>
      <c r="J91" s="151" t="e">
        <f ca="1">OFFSET('自動車台帳'!L92,'自動車台帳'!$AP92,0)</f>
        <v>#N/A</v>
      </c>
      <c r="K91" s="152" t="e">
        <f ca="1">OFFSET('自動車台帳'!M92,'自動車台帳'!$AP92,0)</f>
        <v>#N/A</v>
      </c>
      <c r="L91" s="152" t="e">
        <f ca="1">OFFSET('自動車台帳'!N92,'自動車台帳'!$AP92,0)</f>
        <v>#N/A</v>
      </c>
      <c r="M91" s="148" t="e">
        <f ca="1">OFFSET('自動車台帳'!AB92,'自動車台帳'!$AP92,0)</f>
        <v>#N/A</v>
      </c>
      <c r="N91" s="148" t="e">
        <f ca="1">OFFSET('自動車台帳'!AC92,'自動車台帳'!$AP92,0)</f>
        <v>#N/A</v>
      </c>
      <c r="O91" s="153" t="e">
        <f ca="1">OFFSET('自動車台帳'!AD92,'自動車台帳'!$AP92,0)</f>
        <v>#N/A</v>
      </c>
      <c r="P91" s="154" t="e">
        <f ca="1">OFFSET('自動車台帳'!AE92,'自動車台帳'!$AP92,0)</f>
        <v>#N/A</v>
      </c>
      <c r="Q91" s="154" t="e">
        <f ca="1">OFFSET('自動車台帳'!AF92,'自動車台帳'!$AP92,0)</f>
        <v>#N/A</v>
      </c>
    </row>
    <row r="92" spans="1:17" ht="13.5">
      <c r="A92" s="148" t="e">
        <f ca="1">OFFSET('自動車台帳'!C93,'自動車台帳'!$AP93,0)</f>
        <v>#N/A</v>
      </c>
      <c r="B92" s="148" t="e">
        <f ca="1">OFFSET('自動車台帳'!D93,'自動車台帳'!$AP93,0)</f>
        <v>#N/A</v>
      </c>
      <c r="C92" s="148" t="e">
        <f ca="1">OFFSET('自動車台帳'!E93,'自動車台帳'!$AP93,0)</f>
        <v>#N/A</v>
      </c>
      <c r="D92" s="148" t="e">
        <f ca="1">OFFSET('自動車台帳'!F93,'自動車台帳'!$AP93,0)</f>
        <v>#N/A</v>
      </c>
      <c r="E92" s="149" t="e">
        <f ca="1">OFFSET('自動車台帳'!G93,'自動車台帳'!$AP93,0)</f>
        <v>#N/A</v>
      </c>
      <c r="F92" s="150" t="e">
        <f ca="1">OFFSET('自動車台帳'!H93,'自動車台帳'!$AP93,0)</f>
        <v>#N/A</v>
      </c>
      <c r="G92" s="148" t="e">
        <f ca="1">OFFSET('自動車台帳'!I93,'自動車台帳'!$AP93,0)</f>
        <v>#N/A</v>
      </c>
      <c r="H92" s="148" t="e">
        <f ca="1">OFFSET('自動車台帳'!J93,'自動車台帳'!$AP93,0)</f>
        <v>#N/A</v>
      </c>
      <c r="I92" s="149" t="e">
        <f ca="1">OFFSET('自動車台帳'!K93,'自動車台帳'!$AP93,0)</f>
        <v>#N/A</v>
      </c>
      <c r="J92" s="151" t="e">
        <f ca="1">OFFSET('自動車台帳'!L93,'自動車台帳'!$AP93,0)</f>
        <v>#N/A</v>
      </c>
      <c r="K92" s="152" t="e">
        <f ca="1">OFFSET('自動車台帳'!M93,'自動車台帳'!$AP93,0)</f>
        <v>#N/A</v>
      </c>
      <c r="L92" s="152" t="e">
        <f ca="1">OFFSET('自動車台帳'!N93,'自動車台帳'!$AP93,0)</f>
        <v>#N/A</v>
      </c>
      <c r="M92" s="148" t="e">
        <f ca="1">OFFSET('自動車台帳'!AB93,'自動車台帳'!$AP93,0)</f>
        <v>#N/A</v>
      </c>
      <c r="N92" s="148" t="e">
        <f ca="1">OFFSET('自動車台帳'!AC93,'自動車台帳'!$AP93,0)</f>
        <v>#N/A</v>
      </c>
      <c r="O92" s="153" t="e">
        <f ca="1">OFFSET('自動車台帳'!AD93,'自動車台帳'!$AP93,0)</f>
        <v>#N/A</v>
      </c>
      <c r="P92" s="154" t="e">
        <f ca="1">OFFSET('自動車台帳'!AE93,'自動車台帳'!$AP93,0)</f>
        <v>#N/A</v>
      </c>
      <c r="Q92" s="154" t="e">
        <f ca="1">OFFSET('自動車台帳'!AF93,'自動車台帳'!$AP93,0)</f>
        <v>#N/A</v>
      </c>
    </row>
    <row r="93" spans="1:17" ht="13.5">
      <c r="A93" s="148" t="e">
        <f ca="1">OFFSET('自動車台帳'!C94,'自動車台帳'!$AP94,0)</f>
        <v>#N/A</v>
      </c>
      <c r="B93" s="148" t="e">
        <f ca="1">OFFSET('自動車台帳'!D94,'自動車台帳'!$AP94,0)</f>
        <v>#N/A</v>
      </c>
      <c r="C93" s="148" t="e">
        <f ca="1">OFFSET('自動車台帳'!E94,'自動車台帳'!$AP94,0)</f>
        <v>#N/A</v>
      </c>
      <c r="D93" s="148" t="e">
        <f ca="1">OFFSET('自動車台帳'!F94,'自動車台帳'!$AP94,0)</f>
        <v>#N/A</v>
      </c>
      <c r="E93" s="149" t="e">
        <f ca="1">OFFSET('自動車台帳'!G94,'自動車台帳'!$AP94,0)</f>
        <v>#N/A</v>
      </c>
      <c r="F93" s="150" t="e">
        <f ca="1">OFFSET('自動車台帳'!H94,'自動車台帳'!$AP94,0)</f>
        <v>#N/A</v>
      </c>
      <c r="G93" s="148" t="e">
        <f ca="1">OFFSET('自動車台帳'!I94,'自動車台帳'!$AP94,0)</f>
        <v>#N/A</v>
      </c>
      <c r="H93" s="148" t="e">
        <f ca="1">OFFSET('自動車台帳'!J94,'自動車台帳'!$AP94,0)</f>
        <v>#N/A</v>
      </c>
      <c r="I93" s="149" t="e">
        <f ca="1">OFFSET('自動車台帳'!K94,'自動車台帳'!$AP94,0)</f>
        <v>#N/A</v>
      </c>
      <c r="J93" s="151" t="e">
        <f ca="1">OFFSET('自動車台帳'!L94,'自動車台帳'!$AP94,0)</f>
        <v>#N/A</v>
      </c>
      <c r="K93" s="152" t="e">
        <f ca="1">OFFSET('自動車台帳'!M94,'自動車台帳'!$AP94,0)</f>
        <v>#N/A</v>
      </c>
      <c r="L93" s="152" t="e">
        <f ca="1">OFFSET('自動車台帳'!N94,'自動車台帳'!$AP94,0)</f>
        <v>#N/A</v>
      </c>
      <c r="M93" s="148" t="e">
        <f ca="1">OFFSET('自動車台帳'!AB94,'自動車台帳'!$AP94,0)</f>
        <v>#N/A</v>
      </c>
      <c r="N93" s="148" t="e">
        <f ca="1">OFFSET('自動車台帳'!AC94,'自動車台帳'!$AP94,0)</f>
        <v>#N/A</v>
      </c>
      <c r="O93" s="153" t="e">
        <f ca="1">OFFSET('自動車台帳'!AD94,'自動車台帳'!$AP94,0)</f>
        <v>#N/A</v>
      </c>
      <c r="P93" s="154" t="e">
        <f ca="1">OFFSET('自動車台帳'!AE94,'自動車台帳'!$AP94,0)</f>
        <v>#N/A</v>
      </c>
      <c r="Q93" s="154" t="e">
        <f ca="1">OFFSET('自動車台帳'!AF94,'自動車台帳'!$AP94,0)</f>
        <v>#N/A</v>
      </c>
    </row>
    <row r="94" spans="1:17" ht="13.5">
      <c r="A94" s="148" t="e">
        <f ca="1">OFFSET('自動車台帳'!C95,'自動車台帳'!$AP95,0)</f>
        <v>#N/A</v>
      </c>
      <c r="B94" s="148" t="e">
        <f ca="1">OFFSET('自動車台帳'!D95,'自動車台帳'!$AP95,0)</f>
        <v>#N/A</v>
      </c>
      <c r="C94" s="148" t="e">
        <f ca="1">OFFSET('自動車台帳'!E95,'自動車台帳'!$AP95,0)</f>
        <v>#N/A</v>
      </c>
      <c r="D94" s="148" t="e">
        <f ca="1">OFFSET('自動車台帳'!F95,'自動車台帳'!$AP95,0)</f>
        <v>#N/A</v>
      </c>
      <c r="E94" s="149" t="e">
        <f ca="1">OFFSET('自動車台帳'!G95,'自動車台帳'!$AP95,0)</f>
        <v>#N/A</v>
      </c>
      <c r="F94" s="150" t="e">
        <f ca="1">OFFSET('自動車台帳'!H95,'自動車台帳'!$AP95,0)</f>
        <v>#N/A</v>
      </c>
      <c r="G94" s="148" t="e">
        <f ca="1">OFFSET('自動車台帳'!I95,'自動車台帳'!$AP95,0)</f>
        <v>#N/A</v>
      </c>
      <c r="H94" s="148" t="e">
        <f ca="1">OFFSET('自動車台帳'!J95,'自動車台帳'!$AP95,0)</f>
        <v>#N/A</v>
      </c>
      <c r="I94" s="149" t="e">
        <f ca="1">OFFSET('自動車台帳'!K95,'自動車台帳'!$AP95,0)</f>
        <v>#N/A</v>
      </c>
      <c r="J94" s="151" t="e">
        <f ca="1">OFFSET('自動車台帳'!L95,'自動車台帳'!$AP95,0)</f>
        <v>#N/A</v>
      </c>
      <c r="K94" s="152" t="e">
        <f ca="1">OFFSET('自動車台帳'!M95,'自動車台帳'!$AP95,0)</f>
        <v>#N/A</v>
      </c>
      <c r="L94" s="152" t="e">
        <f ca="1">OFFSET('自動車台帳'!N95,'自動車台帳'!$AP95,0)</f>
        <v>#N/A</v>
      </c>
      <c r="M94" s="148" t="e">
        <f ca="1">OFFSET('自動車台帳'!AB95,'自動車台帳'!$AP95,0)</f>
        <v>#N/A</v>
      </c>
      <c r="N94" s="148" t="e">
        <f ca="1">OFFSET('自動車台帳'!AC95,'自動車台帳'!$AP95,0)</f>
        <v>#N/A</v>
      </c>
      <c r="O94" s="153" t="e">
        <f ca="1">OFFSET('自動車台帳'!AD95,'自動車台帳'!$AP95,0)</f>
        <v>#N/A</v>
      </c>
      <c r="P94" s="154" t="e">
        <f ca="1">OFFSET('自動車台帳'!AE95,'自動車台帳'!$AP95,0)</f>
        <v>#N/A</v>
      </c>
      <c r="Q94" s="154" t="e">
        <f ca="1">OFFSET('自動車台帳'!AF95,'自動車台帳'!$AP95,0)</f>
        <v>#N/A</v>
      </c>
    </row>
    <row r="95" spans="1:17" ht="13.5">
      <c r="A95" s="148" t="e">
        <f ca="1">OFFSET('自動車台帳'!C96,'自動車台帳'!$AP96,0)</f>
        <v>#N/A</v>
      </c>
      <c r="B95" s="148" t="e">
        <f ca="1">OFFSET('自動車台帳'!D96,'自動車台帳'!$AP96,0)</f>
        <v>#N/A</v>
      </c>
      <c r="C95" s="148" t="e">
        <f ca="1">OFFSET('自動車台帳'!E96,'自動車台帳'!$AP96,0)</f>
        <v>#N/A</v>
      </c>
      <c r="D95" s="148" t="e">
        <f ca="1">OFFSET('自動車台帳'!F96,'自動車台帳'!$AP96,0)</f>
        <v>#N/A</v>
      </c>
      <c r="E95" s="149" t="e">
        <f ca="1">OFFSET('自動車台帳'!G96,'自動車台帳'!$AP96,0)</f>
        <v>#N/A</v>
      </c>
      <c r="F95" s="150" t="e">
        <f ca="1">OFFSET('自動車台帳'!H96,'自動車台帳'!$AP96,0)</f>
        <v>#N/A</v>
      </c>
      <c r="G95" s="148" t="e">
        <f ca="1">OFFSET('自動車台帳'!I96,'自動車台帳'!$AP96,0)</f>
        <v>#N/A</v>
      </c>
      <c r="H95" s="148" t="e">
        <f ca="1">OFFSET('自動車台帳'!J96,'自動車台帳'!$AP96,0)</f>
        <v>#N/A</v>
      </c>
      <c r="I95" s="149" t="e">
        <f ca="1">OFFSET('自動車台帳'!K96,'自動車台帳'!$AP96,0)</f>
        <v>#N/A</v>
      </c>
      <c r="J95" s="151" t="e">
        <f ca="1">OFFSET('自動車台帳'!L96,'自動車台帳'!$AP96,0)</f>
        <v>#N/A</v>
      </c>
      <c r="K95" s="152" t="e">
        <f ca="1">OFFSET('自動車台帳'!M96,'自動車台帳'!$AP96,0)</f>
        <v>#N/A</v>
      </c>
      <c r="L95" s="152" t="e">
        <f ca="1">OFFSET('自動車台帳'!N96,'自動車台帳'!$AP96,0)</f>
        <v>#N/A</v>
      </c>
      <c r="M95" s="148" t="e">
        <f ca="1">OFFSET('自動車台帳'!AB96,'自動車台帳'!$AP96,0)</f>
        <v>#N/A</v>
      </c>
      <c r="N95" s="148" t="e">
        <f ca="1">OFFSET('自動車台帳'!AC96,'自動車台帳'!$AP96,0)</f>
        <v>#N/A</v>
      </c>
      <c r="O95" s="153" t="e">
        <f ca="1">OFFSET('自動車台帳'!AD96,'自動車台帳'!$AP96,0)</f>
        <v>#N/A</v>
      </c>
      <c r="P95" s="154" t="e">
        <f ca="1">OFFSET('自動車台帳'!AE96,'自動車台帳'!$AP96,0)</f>
        <v>#N/A</v>
      </c>
      <c r="Q95" s="154" t="e">
        <f ca="1">OFFSET('自動車台帳'!AF96,'自動車台帳'!$AP96,0)</f>
        <v>#N/A</v>
      </c>
    </row>
    <row r="96" spans="1:17" ht="13.5">
      <c r="A96" s="148" t="e">
        <f ca="1">OFFSET('自動車台帳'!C97,'自動車台帳'!$AP97,0)</f>
        <v>#N/A</v>
      </c>
      <c r="B96" s="148" t="e">
        <f ca="1">OFFSET('自動車台帳'!D97,'自動車台帳'!$AP97,0)</f>
        <v>#N/A</v>
      </c>
      <c r="C96" s="148" t="e">
        <f ca="1">OFFSET('自動車台帳'!E97,'自動車台帳'!$AP97,0)</f>
        <v>#N/A</v>
      </c>
      <c r="D96" s="148" t="e">
        <f ca="1">OFFSET('自動車台帳'!F97,'自動車台帳'!$AP97,0)</f>
        <v>#N/A</v>
      </c>
      <c r="E96" s="149" t="e">
        <f ca="1">OFFSET('自動車台帳'!G97,'自動車台帳'!$AP97,0)</f>
        <v>#N/A</v>
      </c>
      <c r="F96" s="150" t="e">
        <f ca="1">OFFSET('自動車台帳'!H97,'自動車台帳'!$AP97,0)</f>
        <v>#N/A</v>
      </c>
      <c r="G96" s="148" t="e">
        <f ca="1">OFFSET('自動車台帳'!I97,'自動車台帳'!$AP97,0)</f>
        <v>#N/A</v>
      </c>
      <c r="H96" s="148" t="e">
        <f ca="1">OFFSET('自動車台帳'!J97,'自動車台帳'!$AP97,0)</f>
        <v>#N/A</v>
      </c>
      <c r="I96" s="149" t="e">
        <f ca="1">OFFSET('自動車台帳'!K97,'自動車台帳'!$AP97,0)</f>
        <v>#N/A</v>
      </c>
      <c r="J96" s="151" t="e">
        <f ca="1">OFFSET('自動車台帳'!L97,'自動車台帳'!$AP97,0)</f>
        <v>#N/A</v>
      </c>
      <c r="K96" s="152" t="e">
        <f ca="1">OFFSET('自動車台帳'!M97,'自動車台帳'!$AP97,0)</f>
        <v>#N/A</v>
      </c>
      <c r="L96" s="152" t="e">
        <f ca="1">OFFSET('自動車台帳'!N97,'自動車台帳'!$AP97,0)</f>
        <v>#N/A</v>
      </c>
      <c r="M96" s="148" t="e">
        <f ca="1">OFFSET('自動車台帳'!AB97,'自動車台帳'!$AP97,0)</f>
        <v>#N/A</v>
      </c>
      <c r="N96" s="148" t="e">
        <f ca="1">OFFSET('自動車台帳'!AC97,'自動車台帳'!$AP97,0)</f>
        <v>#N/A</v>
      </c>
      <c r="O96" s="153" t="e">
        <f ca="1">OFFSET('自動車台帳'!AD97,'自動車台帳'!$AP97,0)</f>
        <v>#N/A</v>
      </c>
      <c r="P96" s="154" t="e">
        <f ca="1">OFFSET('自動車台帳'!AE97,'自動車台帳'!$AP97,0)</f>
        <v>#N/A</v>
      </c>
      <c r="Q96" s="154" t="e">
        <f ca="1">OFFSET('自動車台帳'!AF97,'自動車台帳'!$AP97,0)</f>
        <v>#N/A</v>
      </c>
    </row>
    <row r="97" spans="1:17" ht="13.5">
      <c r="A97" s="148" t="e">
        <f ca="1">OFFSET('自動車台帳'!C98,'自動車台帳'!$AP98,0)</f>
        <v>#N/A</v>
      </c>
      <c r="B97" s="148" t="e">
        <f ca="1">OFFSET('自動車台帳'!D98,'自動車台帳'!$AP98,0)</f>
        <v>#N/A</v>
      </c>
      <c r="C97" s="148" t="e">
        <f ca="1">OFFSET('自動車台帳'!E98,'自動車台帳'!$AP98,0)</f>
        <v>#N/A</v>
      </c>
      <c r="D97" s="148" t="e">
        <f ca="1">OFFSET('自動車台帳'!F98,'自動車台帳'!$AP98,0)</f>
        <v>#N/A</v>
      </c>
      <c r="E97" s="149" t="e">
        <f ca="1">OFFSET('自動車台帳'!G98,'自動車台帳'!$AP98,0)</f>
        <v>#N/A</v>
      </c>
      <c r="F97" s="150" t="e">
        <f ca="1">OFFSET('自動車台帳'!H98,'自動車台帳'!$AP98,0)</f>
        <v>#N/A</v>
      </c>
      <c r="G97" s="148" t="e">
        <f ca="1">OFFSET('自動車台帳'!I98,'自動車台帳'!$AP98,0)</f>
        <v>#N/A</v>
      </c>
      <c r="H97" s="148" t="e">
        <f ca="1">OFFSET('自動車台帳'!J98,'自動車台帳'!$AP98,0)</f>
        <v>#N/A</v>
      </c>
      <c r="I97" s="149" t="e">
        <f ca="1">OFFSET('自動車台帳'!K98,'自動車台帳'!$AP98,0)</f>
        <v>#N/A</v>
      </c>
      <c r="J97" s="151" t="e">
        <f ca="1">OFFSET('自動車台帳'!L98,'自動車台帳'!$AP98,0)</f>
        <v>#N/A</v>
      </c>
      <c r="K97" s="152" t="e">
        <f ca="1">OFFSET('自動車台帳'!M98,'自動車台帳'!$AP98,0)</f>
        <v>#N/A</v>
      </c>
      <c r="L97" s="152" t="e">
        <f ca="1">OFFSET('自動車台帳'!N98,'自動車台帳'!$AP98,0)</f>
        <v>#N/A</v>
      </c>
      <c r="M97" s="148" t="e">
        <f ca="1">OFFSET('自動車台帳'!AB98,'自動車台帳'!$AP98,0)</f>
        <v>#N/A</v>
      </c>
      <c r="N97" s="148" t="e">
        <f ca="1">OFFSET('自動車台帳'!AC98,'自動車台帳'!$AP98,0)</f>
        <v>#N/A</v>
      </c>
      <c r="O97" s="153" t="e">
        <f ca="1">OFFSET('自動車台帳'!AD98,'自動車台帳'!$AP98,0)</f>
        <v>#N/A</v>
      </c>
      <c r="P97" s="154" t="e">
        <f ca="1">OFFSET('自動車台帳'!AE98,'自動車台帳'!$AP98,0)</f>
        <v>#N/A</v>
      </c>
      <c r="Q97" s="154" t="e">
        <f ca="1">OFFSET('自動車台帳'!AF98,'自動車台帳'!$AP98,0)</f>
        <v>#N/A</v>
      </c>
    </row>
    <row r="98" spans="1:17" ht="13.5">
      <c r="A98" s="148" t="e">
        <f ca="1">OFFSET('自動車台帳'!C99,'自動車台帳'!$AP99,0)</f>
        <v>#N/A</v>
      </c>
      <c r="B98" s="148" t="e">
        <f ca="1">OFFSET('自動車台帳'!D99,'自動車台帳'!$AP99,0)</f>
        <v>#N/A</v>
      </c>
      <c r="C98" s="148" t="e">
        <f ca="1">OFFSET('自動車台帳'!E99,'自動車台帳'!$AP99,0)</f>
        <v>#N/A</v>
      </c>
      <c r="D98" s="148" t="e">
        <f ca="1">OFFSET('自動車台帳'!F99,'自動車台帳'!$AP99,0)</f>
        <v>#N/A</v>
      </c>
      <c r="E98" s="149" t="e">
        <f ca="1">OFFSET('自動車台帳'!G99,'自動車台帳'!$AP99,0)</f>
        <v>#N/A</v>
      </c>
      <c r="F98" s="150" t="e">
        <f ca="1">OFFSET('自動車台帳'!H99,'自動車台帳'!$AP99,0)</f>
        <v>#N/A</v>
      </c>
      <c r="G98" s="148" t="e">
        <f ca="1">OFFSET('自動車台帳'!I99,'自動車台帳'!$AP99,0)</f>
        <v>#N/A</v>
      </c>
      <c r="H98" s="148" t="e">
        <f ca="1">OFFSET('自動車台帳'!J99,'自動車台帳'!$AP99,0)</f>
        <v>#N/A</v>
      </c>
      <c r="I98" s="149" t="e">
        <f ca="1">OFFSET('自動車台帳'!K99,'自動車台帳'!$AP99,0)</f>
        <v>#N/A</v>
      </c>
      <c r="J98" s="151" t="e">
        <f ca="1">OFFSET('自動車台帳'!L99,'自動車台帳'!$AP99,0)</f>
        <v>#N/A</v>
      </c>
      <c r="K98" s="152" t="e">
        <f ca="1">OFFSET('自動車台帳'!M99,'自動車台帳'!$AP99,0)</f>
        <v>#N/A</v>
      </c>
      <c r="L98" s="152" t="e">
        <f ca="1">OFFSET('自動車台帳'!N99,'自動車台帳'!$AP99,0)</f>
        <v>#N/A</v>
      </c>
      <c r="M98" s="148" t="e">
        <f ca="1">OFFSET('自動車台帳'!AB99,'自動車台帳'!$AP99,0)</f>
        <v>#N/A</v>
      </c>
      <c r="N98" s="148" t="e">
        <f ca="1">OFFSET('自動車台帳'!AC99,'自動車台帳'!$AP99,0)</f>
        <v>#N/A</v>
      </c>
      <c r="O98" s="153" t="e">
        <f ca="1">OFFSET('自動車台帳'!AD99,'自動車台帳'!$AP99,0)</f>
        <v>#N/A</v>
      </c>
      <c r="P98" s="154" t="e">
        <f ca="1">OFFSET('自動車台帳'!AE99,'自動車台帳'!$AP99,0)</f>
        <v>#N/A</v>
      </c>
      <c r="Q98" s="154" t="e">
        <f ca="1">OFFSET('自動車台帳'!AF99,'自動車台帳'!$AP99,0)</f>
        <v>#N/A</v>
      </c>
    </row>
    <row r="99" spans="1:17" ht="13.5">
      <c r="A99" s="148" t="e">
        <f ca="1">OFFSET('自動車台帳'!C100,'自動車台帳'!$AP100,0)</f>
        <v>#N/A</v>
      </c>
      <c r="B99" s="148" t="e">
        <f ca="1">OFFSET('自動車台帳'!D100,'自動車台帳'!$AP100,0)</f>
        <v>#N/A</v>
      </c>
      <c r="C99" s="148" t="e">
        <f ca="1">OFFSET('自動車台帳'!E100,'自動車台帳'!$AP100,0)</f>
        <v>#N/A</v>
      </c>
      <c r="D99" s="148" t="e">
        <f ca="1">OFFSET('自動車台帳'!F100,'自動車台帳'!$AP100,0)</f>
        <v>#N/A</v>
      </c>
      <c r="E99" s="149" t="e">
        <f ca="1">OFFSET('自動車台帳'!G100,'自動車台帳'!$AP100,0)</f>
        <v>#N/A</v>
      </c>
      <c r="F99" s="150" t="e">
        <f ca="1">OFFSET('自動車台帳'!H100,'自動車台帳'!$AP100,0)</f>
        <v>#N/A</v>
      </c>
      <c r="G99" s="148" t="e">
        <f ca="1">OFFSET('自動車台帳'!I100,'自動車台帳'!$AP100,0)</f>
        <v>#N/A</v>
      </c>
      <c r="H99" s="148" t="e">
        <f ca="1">OFFSET('自動車台帳'!J100,'自動車台帳'!$AP100,0)</f>
        <v>#N/A</v>
      </c>
      <c r="I99" s="149" t="e">
        <f ca="1">OFFSET('自動車台帳'!K100,'自動車台帳'!$AP100,0)</f>
        <v>#N/A</v>
      </c>
      <c r="J99" s="151" t="e">
        <f ca="1">OFFSET('自動車台帳'!L100,'自動車台帳'!$AP100,0)</f>
        <v>#N/A</v>
      </c>
      <c r="K99" s="152" t="e">
        <f ca="1">OFFSET('自動車台帳'!M100,'自動車台帳'!$AP100,0)</f>
        <v>#N/A</v>
      </c>
      <c r="L99" s="152" t="e">
        <f ca="1">OFFSET('自動車台帳'!N100,'自動車台帳'!$AP100,0)</f>
        <v>#N/A</v>
      </c>
      <c r="M99" s="148" t="e">
        <f ca="1">OFFSET('自動車台帳'!AB100,'自動車台帳'!$AP100,0)</f>
        <v>#N/A</v>
      </c>
      <c r="N99" s="148" t="e">
        <f ca="1">OFFSET('自動車台帳'!AC100,'自動車台帳'!$AP100,0)</f>
        <v>#N/A</v>
      </c>
      <c r="O99" s="153" t="e">
        <f ca="1">OFFSET('自動車台帳'!AD100,'自動車台帳'!$AP100,0)</f>
        <v>#N/A</v>
      </c>
      <c r="P99" s="154" t="e">
        <f ca="1">OFFSET('自動車台帳'!AE100,'自動車台帳'!$AP100,0)</f>
        <v>#N/A</v>
      </c>
      <c r="Q99" s="154" t="e">
        <f ca="1">OFFSET('自動車台帳'!AF100,'自動車台帳'!$AP100,0)</f>
        <v>#N/A</v>
      </c>
    </row>
    <row r="100" spans="1:17" ht="13.5">
      <c r="A100" s="148" t="e">
        <f ca="1">OFFSET('自動車台帳'!C101,'自動車台帳'!$AP101,0)</f>
        <v>#N/A</v>
      </c>
      <c r="B100" s="148" t="e">
        <f ca="1">OFFSET('自動車台帳'!D101,'自動車台帳'!$AP101,0)</f>
        <v>#N/A</v>
      </c>
      <c r="C100" s="148" t="e">
        <f ca="1">OFFSET('自動車台帳'!E101,'自動車台帳'!$AP101,0)</f>
        <v>#N/A</v>
      </c>
      <c r="D100" s="148" t="e">
        <f ca="1">OFFSET('自動車台帳'!F101,'自動車台帳'!$AP101,0)</f>
        <v>#N/A</v>
      </c>
      <c r="E100" s="149" t="e">
        <f ca="1">OFFSET('自動車台帳'!G101,'自動車台帳'!$AP101,0)</f>
        <v>#N/A</v>
      </c>
      <c r="F100" s="150" t="e">
        <f ca="1">OFFSET('自動車台帳'!H101,'自動車台帳'!$AP101,0)</f>
        <v>#N/A</v>
      </c>
      <c r="G100" s="148" t="e">
        <f ca="1">OFFSET('自動車台帳'!I101,'自動車台帳'!$AP101,0)</f>
        <v>#N/A</v>
      </c>
      <c r="H100" s="148" t="e">
        <f ca="1">OFFSET('自動車台帳'!J101,'自動車台帳'!$AP101,0)</f>
        <v>#N/A</v>
      </c>
      <c r="I100" s="149" t="e">
        <f ca="1">OFFSET('自動車台帳'!K101,'自動車台帳'!$AP101,0)</f>
        <v>#N/A</v>
      </c>
      <c r="J100" s="151" t="e">
        <f ca="1">OFFSET('自動車台帳'!L101,'自動車台帳'!$AP101,0)</f>
        <v>#N/A</v>
      </c>
      <c r="K100" s="152" t="e">
        <f ca="1">OFFSET('自動車台帳'!M101,'自動車台帳'!$AP101,0)</f>
        <v>#N/A</v>
      </c>
      <c r="L100" s="152" t="e">
        <f ca="1">OFFSET('自動車台帳'!N101,'自動車台帳'!$AP101,0)</f>
        <v>#N/A</v>
      </c>
      <c r="M100" s="148" t="e">
        <f ca="1">OFFSET('自動車台帳'!AB101,'自動車台帳'!$AP101,0)</f>
        <v>#N/A</v>
      </c>
      <c r="N100" s="148" t="e">
        <f ca="1">OFFSET('自動車台帳'!AC101,'自動車台帳'!$AP101,0)</f>
        <v>#N/A</v>
      </c>
      <c r="O100" s="153" t="e">
        <f ca="1">OFFSET('自動車台帳'!AD101,'自動車台帳'!$AP101,0)</f>
        <v>#N/A</v>
      </c>
      <c r="P100" s="154" t="e">
        <f ca="1">OFFSET('自動車台帳'!AE101,'自動車台帳'!$AP101,0)</f>
        <v>#N/A</v>
      </c>
      <c r="Q100" s="154" t="e">
        <f ca="1">OFFSET('自動車台帳'!AF101,'自動車台帳'!$AP101,0)</f>
        <v>#N/A</v>
      </c>
    </row>
    <row r="101" spans="1:17" ht="13.5">
      <c r="A101" s="148" t="e">
        <f ca="1">OFFSET('自動車台帳'!C102,'自動車台帳'!$AP102,0)</f>
        <v>#N/A</v>
      </c>
      <c r="B101" s="148" t="e">
        <f ca="1">OFFSET('自動車台帳'!D102,'自動車台帳'!$AP102,0)</f>
        <v>#N/A</v>
      </c>
      <c r="C101" s="148" t="e">
        <f ca="1">OFFSET('自動車台帳'!E102,'自動車台帳'!$AP102,0)</f>
        <v>#N/A</v>
      </c>
      <c r="D101" s="148" t="e">
        <f ca="1">OFFSET('自動車台帳'!F102,'自動車台帳'!$AP102,0)</f>
        <v>#N/A</v>
      </c>
      <c r="E101" s="149" t="e">
        <f ca="1">OFFSET('自動車台帳'!G102,'自動車台帳'!$AP102,0)</f>
        <v>#N/A</v>
      </c>
      <c r="F101" s="150" t="e">
        <f ca="1">OFFSET('自動車台帳'!H102,'自動車台帳'!$AP102,0)</f>
        <v>#N/A</v>
      </c>
      <c r="G101" s="148" t="e">
        <f ca="1">OFFSET('自動車台帳'!I102,'自動車台帳'!$AP102,0)</f>
        <v>#N/A</v>
      </c>
      <c r="H101" s="148" t="e">
        <f ca="1">OFFSET('自動車台帳'!J102,'自動車台帳'!$AP102,0)</f>
        <v>#N/A</v>
      </c>
      <c r="I101" s="149" t="e">
        <f ca="1">OFFSET('自動車台帳'!K102,'自動車台帳'!$AP102,0)</f>
        <v>#N/A</v>
      </c>
      <c r="J101" s="151" t="e">
        <f ca="1">OFFSET('自動車台帳'!L102,'自動車台帳'!$AP102,0)</f>
        <v>#N/A</v>
      </c>
      <c r="K101" s="152" t="e">
        <f ca="1">OFFSET('自動車台帳'!M102,'自動車台帳'!$AP102,0)</f>
        <v>#N/A</v>
      </c>
      <c r="L101" s="152" t="e">
        <f ca="1">OFFSET('自動車台帳'!N102,'自動車台帳'!$AP102,0)</f>
        <v>#N/A</v>
      </c>
      <c r="M101" s="148" t="e">
        <f ca="1">OFFSET('自動車台帳'!AB102,'自動車台帳'!$AP102,0)</f>
        <v>#N/A</v>
      </c>
      <c r="N101" s="148" t="e">
        <f ca="1">OFFSET('自動車台帳'!AC102,'自動車台帳'!$AP102,0)</f>
        <v>#N/A</v>
      </c>
      <c r="O101" s="153" t="e">
        <f ca="1">OFFSET('自動車台帳'!AD102,'自動車台帳'!$AP102,0)</f>
        <v>#N/A</v>
      </c>
      <c r="P101" s="154" t="e">
        <f ca="1">OFFSET('自動車台帳'!AE102,'自動車台帳'!$AP102,0)</f>
        <v>#N/A</v>
      </c>
      <c r="Q101" s="154" t="e">
        <f ca="1">OFFSET('自動車台帳'!AF102,'自動車台帳'!$AP102,0)</f>
        <v>#N/A</v>
      </c>
    </row>
    <row r="102" spans="1:17" ht="13.5">
      <c r="A102" s="148" t="e">
        <f ca="1">OFFSET('自動車台帳'!C103,'自動車台帳'!$AP103,0)</f>
        <v>#N/A</v>
      </c>
      <c r="B102" s="148" t="e">
        <f ca="1">OFFSET('自動車台帳'!D103,'自動車台帳'!$AP103,0)</f>
        <v>#N/A</v>
      </c>
      <c r="C102" s="148" t="e">
        <f ca="1">OFFSET('自動車台帳'!E103,'自動車台帳'!$AP103,0)</f>
        <v>#N/A</v>
      </c>
      <c r="D102" s="148" t="e">
        <f ca="1">OFFSET('自動車台帳'!F103,'自動車台帳'!$AP103,0)</f>
        <v>#N/A</v>
      </c>
      <c r="E102" s="149" t="e">
        <f ca="1">OFFSET('自動車台帳'!G103,'自動車台帳'!$AP103,0)</f>
        <v>#N/A</v>
      </c>
      <c r="F102" s="150" t="e">
        <f ca="1">OFFSET('自動車台帳'!H103,'自動車台帳'!$AP103,0)</f>
        <v>#N/A</v>
      </c>
      <c r="G102" s="148" t="e">
        <f ca="1">OFFSET('自動車台帳'!I103,'自動車台帳'!$AP103,0)</f>
        <v>#N/A</v>
      </c>
      <c r="H102" s="148" t="e">
        <f ca="1">OFFSET('自動車台帳'!J103,'自動車台帳'!$AP103,0)</f>
        <v>#N/A</v>
      </c>
      <c r="I102" s="149" t="e">
        <f ca="1">OFFSET('自動車台帳'!K103,'自動車台帳'!$AP103,0)</f>
        <v>#N/A</v>
      </c>
      <c r="J102" s="151" t="e">
        <f ca="1">OFFSET('自動車台帳'!L103,'自動車台帳'!$AP103,0)</f>
        <v>#N/A</v>
      </c>
      <c r="K102" s="152" t="e">
        <f ca="1">OFFSET('自動車台帳'!M103,'自動車台帳'!$AP103,0)</f>
        <v>#N/A</v>
      </c>
      <c r="L102" s="152" t="e">
        <f ca="1">OFFSET('自動車台帳'!N103,'自動車台帳'!$AP103,0)</f>
        <v>#N/A</v>
      </c>
      <c r="M102" s="148" t="e">
        <f ca="1">OFFSET('自動車台帳'!AB103,'自動車台帳'!$AP103,0)</f>
        <v>#N/A</v>
      </c>
      <c r="N102" s="148" t="e">
        <f ca="1">OFFSET('自動車台帳'!AC103,'自動車台帳'!$AP103,0)</f>
        <v>#N/A</v>
      </c>
      <c r="O102" s="153" t="e">
        <f ca="1">OFFSET('自動車台帳'!AD103,'自動車台帳'!$AP103,0)</f>
        <v>#N/A</v>
      </c>
      <c r="P102" s="154" t="e">
        <f ca="1">OFFSET('自動車台帳'!AE103,'自動車台帳'!$AP103,0)</f>
        <v>#N/A</v>
      </c>
      <c r="Q102" s="154" t="e">
        <f ca="1">OFFSET('自動車台帳'!AF103,'自動車台帳'!$AP103,0)</f>
        <v>#N/A</v>
      </c>
    </row>
    <row r="103" spans="1:17" ht="13.5">
      <c r="A103" s="148" t="e">
        <f ca="1">OFFSET('自動車台帳'!C104,'自動車台帳'!$AP104,0)</f>
        <v>#N/A</v>
      </c>
      <c r="B103" s="148" t="e">
        <f ca="1">OFFSET('自動車台帳'!D104,'自動車台帳'!$AP104,0)</f>
        <v>#N/A</v>
      </c>
      <c r="C103" s="148" t="e">
        <f ca="1">OFFSET('自動車台帳'!E104,'自動車台帳'!$AP104,0)</f>
        <v>#N/A</v>
      </c>
      <c r="D103" s="148" t="e">
        <f ca="1">OFFSET('自動車台帳'!F104,'自動車台帳'!$AP104,0)</f>
        <v>#N/A</v>
      </c>
      <c r="E103" s="149" t="e">
        <f ca="1">OFFSET('自動車台帳'!G104,'自動車台帳'!$AP104,0)</f>
        <v>#N/A</v>
      </c>
      <c r="F103" s="150" t="e">
        <f ca="1">OFFSET('自動車台帳'!H104,'自動車台帳'!$AP104,0)</f>
        <v>#N/A</v>
      </c>
      <c r="G103" s="148" t="e">
        <f ca="1">OFFSET('自動車台帳'!I104,'自動車台帳'!$AP104,0)</f>
        <v>#N/A</v>
      </c>
      <c r="H103" s="148" t="e">
        <f ca="1">OFFSET('自動車台帳'!J104,'自動車台帳'!$AP104,0)</f>
        <v>#N/A</v>
      </c>
      <c r="I103" s="149" t="e">
        <f ca="1">OFFSET('自動車台帳'!K104,'自動車台帳'!$AP104,0)</f>
        <v>#N/A</v>
      </c>
      <c r="J103" s="151" t="e">
        <f ca="1">OFFSET('自動車台帳'!L104,'自動車台帳'!$AP104,0)</f>
        <v>#N/A</v>
      </c>
      <c r="K103" s="152" t="e">
        <f ca="1">OFFSET('自動車台帳'!M104,'自動車台帳'!$AP104,0)</f>
        <v>#N/A</v>
      </c>
      <c r="L103" s="152" t="e">
        <f ca="1">OFFSET('自動車台帳'!N104,'自動車台帳'!$AP104,0)</f>
        <v>#N/A</v>
      </c>
      <c r="M103" s="148" t="e">
        <f ca="1">OFFSET('自動車台帳'!AB104,'自動車台帳'!$AP104,0)</f>
        <v>#N/A</v>
      </c>
      <c r="N103" s="148" t="e">
        <f ca="1">OFFSET('自動車台帳'!AC104,'自動車台帳'!$AP104,0)</f>
        <v>#N/A</v>
      </c>
      <c r="O103" s="153" t="e">
        <f ca="1">OFFSET('自動車台帳'!AD104,'自動車台帳'!$AP104,0)</f>
        <v>#N/A</v>
      </c>
      <c r="P103" s="154" t="e">
        <f ca="1">OFFSET('自動車台帳'!AE104,'自動車台帳'!$AP104,0)</f>
        <v>#N/A</v>
      </c>
      <c r="Q103" s="154" t="e">
        <f ca="1">OFFSET('自動車台帳'!AF104,'自動車台帳'!$AP104,0)</f>
        <v>#N/A</v>
      </c>
    </row>
    <row r="104" spans="1:17" ht="13.5">
      <c r="A104" s="148" t="e">
        <f ca="1">OFFSET('自動車台帳'!C105,'自動車台帳'!$AP105,0)</f>
        <v>#N/A</v>
      </c>
      <c r="B104" s="148" t="e">
        <f ca="1">OFFSET('自動車台帳'!D105,'自動車台帳'!$AP105,0)</f>
        <v>#N/A</v>
      </c>
      <c r="C104" s="148" t="e">
        <f ca="1">OFFSET('自動車台帳'!E105,'自動車台帳'!$AP105,0)</f>
        <v>#N/A</v>
      </c>
      <c r="D104" s="148" t="e">
        <f ca="1">OFFSET('自動車台帳'!F105,'自動車台帳'!$AP105,0)</f>
        <v>#N/A</v>
      </c>
      <c r="E104" s="149" t="e">
        <f ca="1">OFFSET('自動車台帳'!G105,'自動車台帳'!$AP105,0)</f>
        <v>#N/A</v>
      </c>
      <c r="F104" s="150" t="e">
        <f ca="1">OFFSET('自動車台帳'!H105,'自動車台帳'!$AP105,0)</f>
        <v>#N/A</v>
      </c>
      <c r="G104" s="148" t="e">
        <f ca="1">OFFSET('自動車台帳'!I105,'自動車台帳'!$AP105,0)</f>
        <v>#N/A</v>
      </c>
      <c r="H104" s="148" t="e">
        <f ca="1">OFFSET('自動車台帳'!J105,'自動車台帳'!$AP105,0)</f>
        <v>#N/A</v>
      </c>
      <c r="I104" s="149" t="e">
        <f ca="1">OFFSET('自動車台帳'!K105,'自動車台帳'!$AP105,0)</f>
        <v>#N/A</v>
      </c>
      <c r="J104" s="151" t="e">
        <f ca="1">OFFSET('自動車台帳'!L105,'自動車台帳'!$AP105,0)</f>
        <v>#N/A</v>
      </c>
      <c r="K104" s="152" t="e">
        <f ca="1">OFFSET('自動車台帳'!M105,'自動車台帳'!$AP105,0)</f>
        <v>#N/A</v>
      </c>
      <c r="L104" s="152" t="e">
        <f ca="1">OFFSET('自動車台帳'!N105,'自動車台帳'!$AP105,0)</f>
        <v>#N/A</v>
      </c>
      <c r="M104" s="148" t="e">
        <f ca="1">OFFSET('自動車台帳'!AB105,'自動車台帳'!$AP105,0)</f>
        <v>#N/A</v>
      </c>
      <c r="N104" s="148" t="e">
        <f ca="1">OFFSET('自動車台帳'!AC105,'自動車台帳'!$AP105,0)</f>
        <v>#N/A</v>
      </c>
      <c r="O104" s="153" t="e">
        <f ca="1">OFFSET('自動車台帳'!AD105,'自動車台帳'!$AP105,0)</f>
        <v>#N/A</v>
      </c>
      <c r="P104" s="154" t="e">
        <f ca="1">OFFSET('自動車台帳'!AE105,'自動車台帳'!$AP105,0)</f>
        <v>#N/A</v>
      </c>
      <c r="Q104" s="154" t="e">
        <f ca="1">OFFSET('自動車台帳'!AF105,'自動車台帳'!$AP105,0)</f>
        <v>#N/A</v>
      </c>
    </row>
    <row r="105" spans="1:17" ht="13.5">
      <c r="A105" s="148" t="e">
        <f ca="1">OFFSET('自動車台帳'!C106,'自動車台帳'!$AP106,0)</f>
        <v>#N/A</v>
      </c>
      <c r="B105" s="148" t="e">
        <f ca="1">OFFSET('自動車台帳'!D106,'自動車台帳'!$AP106,0)</f>
        <v>#N/A</v>
      </c>
      <c r="C105" s="148" t="e">
        <f ca="1">OFFSET('自動車台帳'!E106,'自動車台帳'!$AP106,0)</f>
        <v>#N/A</v>
      </c>
      <c r="D105" s="148" t="e">
        <f ca="1">OFFSET('自動車台帳'!F106,'自動車台帳'!$AP106,0)</f>
        <v>#N/A</v>
      </c>
      <c r="E105" s="149" t="e">
        <f ca="1">OFFSET('自動車台帳'!G106,'自動車台帳'!$AP106,0)</f>
        <v>#N/A</v>
      </c>
      <c r="F105" s="150" t="e">
        <f ca="1">OFFSET('自動車台帳'!H106,'自動車台帳'!$AP106,0)</f>
        <v>#N/A</v>
      </c>
      <c r="G105" s="148" t="e">
        <f ca="1">OFFSET('自動車台帳'!I106,'自動車台帳'!$AP106,0)</f>
        <v>#N/A</v>
      </c>
      <c r="H105" s="148" t="e">
        <f ca="1">OFFSET('自動車台帳'!J106,'自動車台帳'!$AP106,0)</f>
        <v>#N/A</v>
      </c>
      <c r="I105" s="149" t="e">
        <f ca="1">OFFSET('自動車台帳'!K106,'自動車台帳'!$AP106,0)</f>
        <v>#N/A</v>
      </c>
      <c r="J105" s="151" t="e">
        <f ca="1">OFFSET('自動車台帳'!L106,'自動車台帳'!$AP106,0)</f>
        <v>#N/A</v>
      </c>
      <c r="K105" s="152" t="e">
        <f ca="1">OFFSET('自動車台帳'!M106,'自動車台帳'!$AP106,0)</f>
        <v>#N/A</v>
      </c>
      <c r="L105" s="152" t="e">
        <f ca="1">OFFSET('自動車台帳'!N106,'自動車台帳'!$AP106,0)</f>
        <v>#N/A</v>
      </c>
      <c r="M105" s="148" t="e">
        <f ca="1">OFFSET('自動車台帳'!AB106,'自動車台帳'!$AP106,0)</f>
        <v>#N/A</v>
      </c>
      <c r="N105" s="148" t="e">
        <f ca="1">OFFSET('自動車台帳'!AC106,'自動車台帳'!$AP106,0)</f>
        <v>#N/A</v>
      </c>
      <c r="O105" s="153" t="e">
        <f ca="1">OFFSET('自動車台帳'!AD106,'自動車台帳'!$AP106,0)</f>
        <v>#N/A</v>
      </c>
      <c r="P105" s="154" t="e">
        <f ca="1">OFFSET('自動車台帳'!AE106,'自動車台帳'!$AP106,0)</f>
        <v>#N/A</v>
      </c>
      <c r="Q105" s="154" t="e">
        <f ca="1">OFFSET('自動車台帳'!AF106,'自動車台帳'!$AP106,0)</f>
        <v>#N/A</v>
      </c>
    </row>
    <row r="106" spans="1:17" ht="13.5">
      <c r="A106" s="148" t="e">
        <f ca="1">OFFSET('自動車台帳'!C107,'自動車台帳'!$AP107,0)</f>
        <v>#N/A</v>
      </c>
      <c r="B106" s="148" t="e">
        <f ca="1">OFFSET('自動車台帳'!D107,'自動車台帳'!$AP107,0)</f>
        <v>#N/A</v>
      </c>
      <c r="C106" s="148" t="e">
        <f ca="1">OFFSET('自動車台帳'!E107,'自動車台帳'!$AP107,0)</f>
        <v>#N/A</v>
      </c>
      <c r="D106" s="148" t="e">
        <f ca="1">OFFSET('自動車台帳'!F107,'自動車台帳'!$AP107,0)</f>
        <v>#N/A</v>
      </c>
      <c r="E106" s="149" t="e">
        <f ca="1">OFFSET('自動車台帳'!G107,'自動車台帳'!$AP107,0)</f>
        <v>#N/A</v>
      </c>
      <c r="F106" s="150" t="e">
        <f ca="1">OFFSET('自動車台帳'!H107,'自動車台帳'!$AP107,0)</f>
        <v>#N/A</v>
      </c>
      <c r="G106" s="148" t="e">
        <f ca="1">OFFSET('自動車台帳'!I107,'自動車台帳'!$AP107,0)</f>
        <v>#N/A</v>
      </c>
      <c r="H106" s="148" t="e">
        <f ca="1">OFFSET('自動車台帳'!J107,'自動車台帳'!$AP107,0)</f>
        <v>#N/A</v>
      </c>
      <c r="I106" s="149" t="e">
        <f ca="1">OFFSET('自動車台帳'!K107,'自動車台帳'!$AP107,0)</f>
        <v>#N/A</v>
      </c>
      <c r="J106" s="151" t="e">
        <f ca="1">OFFSET('自動車台帳'!L107,'自動車台帳'!$AP107,0)</f>
        <v>#N/A</v>
      </c>
      <c r="K106" s="152" t="e">
        <f ca="1">OFFSET('自動車台帳'!M107,'自動車台帳'!$AP107,0)</f>
        <v>#N/A</v>
      </c>
      <c r="L106" s="152" t="e">
        <f ca="1">OFFSET('自動車台帳'!N107,'自動車台帳'!$AP107,0)</f>
        <v>#N/A</v>
      </c>
      <c r="M106" s="148" t="e">
        <f ca="1">OFFSET('自動車台帳'!AB107,'自動車台帳'!$AP107,0)</f>
        <v>#N/A</v>
      </c>
      <c r="N106" s="148" t="e">
        <f ca="1">OFFSET('自動車台帳'!AC107,'自動車台帳'!$AP107,0)</f>
        <v>#N/A</v>
      </c>
      <c r="O106" s="153" t="e">
        <f ca="1">OFFSET('自動車台帳'!AD107,'自動車台帳'!$AP107,0)</f>
        <v>#N/A</v>
      </c>
      <c r="P106" s="154" t="e">
        <f ca="1">OFFSET('自動車台帳'!AE107,'自動車台帳'!$AP107,0)</f>
        <v>#N/A</v>
      </c>
      <c r="Q106" s="154" t="e">
        <f ca="1">OFFSET('自動車台帳'!AF107,'自動車台帳'!$AP107,0)</f>
        <v>#N/A</v>
      </c>
    </row>
    <row r="107" spans="1:17" ht="13.5">
      <c r="A107" s="148" t="e">
        <f ca="1">OFFSET('自動車台帳'!C108,'自動車台帳'!$AP108,0)</f>
        <v>#N/A</v>
      </c>
      <c r="B107" s="148" t="e">
        <f ca="1">OFFSET('自動車台帳'!D108,'自動車台帳'!$AP108,0)</f>
        <v>#N/A</v>
      </c>
      <c r="C107" s="148" t="e">
        <f ca="1">OFFSET('自動車台帳'!E108,'自動車台帳'!$AP108,0)</f>
        <v>#N/A</v>
      </c>
      <c r="D107" s="148" t="e">
        <f ca="1">OFFSET('自動車台帳'!F108,'自動車台帳'!$AP108,0)</f>
        <v>#N/A</v>
      </c>
      <c r="E107" s="149" t="e">
        <f ca="1">OFFSET('自動車台帳'!G108,'自動車台帳'!$AP108,0)</f>
        <v>#N/A</v>
      </c>
      <c r="F107" s="150" t="e">
        <f ca="1">OFFSET('自動車台帳'!H108,'自動車台帳'!$AP108,0)</f>
        <v>#N/A</v>
      </c>
      <c r="G107" s="148" t="e">
        <f ca="1">OFFSET('自動車台帳'!I108,'自動車台帳'!$AP108,0)</f>
        <v>#N/A</v>
      </c>
      <c r="H107" s="148" t="e">
        <f ca="1">OFFSET('自動車台帳'!J108,'自動車台帳'!$AP108,0)</f>
        <v>#N/A</v>
      </c>
      <c r="I107" s="149" t="e">
        <f ca="1">OFFSET('自動車台帳'!K108,'自動車台帳'!$AP108,0)</f>
        <v>#N/A</v>
      </c>
      <c r="J107" s="151" t="e">
        <f ca="1">OFFSET('自動車台帳'!L108,'自動車台帳'!$AP108,0)</f>
        <v>#N/A</v>
      </c>
      <c r="K107" s="152" t="e">
        <f ca="1">OFFSET('自動車台帳'!M108,'自動車台帳'!$AP108,0)</f>
        <v>#N/A</v>
      </c>
      <c r="L107" s="152" t="e">
        <f ca="1">OFFSET('自動車台帳'!N108,'自動車台帳'!$AP108,0)</f>
        <v>#N/A</v>
      </c>
      <c r="M107" s="148" t="e">
        <f ca="1">OFFSET('自動車台帳'!AB108,'自動車台帳'!$AP108,0)</f>
        <v>#N/A</v>
      </c>
      <c r="N107" s="148" t="e">
        <f ca="1">OFFSET('自動車台帳'!AC108,'自動車台帳'!$AP108,0)</f>
        <v>#N/A</v>
      </c>
      <c r="O107" s="153" t="e">
        <f ca="1">OFFSET('自動車台帳'!AD108,'自動車台帳'!$AP108,0)</f>
        <v>#N/A</v>
      </c>
      <c r="P107" s="154" t="e">
        <f ca="1">OFFSET('自動車台帳'!AE108,'自動車台帳'!$AP108,0)</f>
        <v>#N/A</v>
      </c>
      <c r="Q107" s="154" t="e">
        <f ca="1">OFFSET('自動車台帳'!AF108,'自動車台帳'!$AP108,0)</f>
        <v>#N/A</v>
      </c>
    </row>
    <row r="108" spans="1:17" ht="13.5">
      <c r="A108" s="148" t="e">
        <f ca="1">OFFSET('自動車台帳'!C109,'自動車台帳'!$AP109,0)</f>
        <v>#N/A</v>
      </c>
      <c r="B108" s="148" t="e">
        <f ca="1">OFFSET('自動車台帳'!D109,'自動車台帳'!$AP109,0)</f>
        <v>#N/A</v>
      </c>
      <c r="C108" s="148" t="e">
        <f ca="1">OFFSET('自動車台帳'!E109,'自動車台帳'!$AP109,0)</f>
        <v>#N/A</v>
      </c>
      <c r="D108" s="148" t="e">
        <f ca="1">OFFSET('自動車台帳'!F109,'自動車台帳'!$AP109,0)</f>
        <v>#N/A</v>
      </c>
      <c r="E108" s="149" t="e">
        <f ca="1">OFFSET('自動車台帳'!G109,'自動車台帳'!$AP109,0)</f>
        <v>#N/A</v>
      </c>
      <c r="F108" s="150" t="e">
        <f ca="1">OFFSET('自動車台帳'!H109,'自動車台帳'!$AP109,0)</f>
        <v>#N/A</v>
      </c>
      <c r="G108" s="148" t="e">
        <f ca="1">OFFSET('自動車台帳'!I109,'自動車台帳'!$AP109,0)</f>
        <v>#N/A</v>
      </c>
      <c r="H108" s="148" t="e">
        <f ca="1">OFFSET('自動車台帳'!J109,'自動車台帳'!$AP109,0)</f>
        <v>#N/A</v>
      </c>
      <c r="I108" s="149" t="e">
        <f ca="1">OFFSET('自動車台帳'!K109,'自動車台帳'!$AP109,0)</f>
        <v>#N/A</v>
      </c>
      <c r="J108" s="151" t="e">
        <f ca="1">OFFSET('自動車台帳'!L109,'自動車台帳'!$AP109,0)</f>
        <v>#N/A</v>
      </c>
      <c r="K108" s="152" t="e">
        <f ca="1">OFFSET('自動車台帳'!M109,'自動車台帳'!$AP109,0)</f>
        <v>#N/A</v>
      </c>
      <c r="L108" s="152" t="e">
        <f ca="1">OFFSET('自動車台帳'!N109,'自動車台帳'!$AP109,0)</f>
        <v>#N/A</v>
      </c>
      <c r="M108" s="148" t="e">
        <f ca="1">OFFSET('自動車台帳'!AB109,'自動車台帳'!$AP109,0)</f>
        <v>#N/A</v>
      </c>
      <c r="N108" s="148" t="e">
        <f ca="1">OFFSET('自動車台帳'!AC109,'自動車台帳'!$AP109,0)</f>
        <v>#N/A</v>
      </c>
      <c r="O108" s="153" t="e">
        <f ca="1">OFFSET('自動車台帳'!AD109,'自動車台帳'!$AP109,0)</f>
        <v>#N/A</v>
      </c>
      <c r="P108" s="154" t="e">
        <f ca="1">OFFSET('自動車台帳'!AE109,'自動車台帳'!$AP109,0)</f>
        <v>#N/A</v>
      </c>
      <c r="Q108" s="154" t="e">
        <f ca="1">OFFSET('自動車台帳'!AF109,'自動車台帳'!$AP109,0)</f>
        <v>#N/A</v>
      </c>
    </row>
    <row r="109" spans="1:17" ht="13.5">
      <c r="A109" s="148" t="e">
        <f ca="1">OFFSET('自動車台帳'!C110,'自動車台帳'!$AP110,0)</f>
        <v>#N/A</v>
      </c>
      <c r="B109" s="148" t="e">
        <f ca="1">OFFSET('自動車台帳'!D110,'自動車台帳'!$AP110,0)</f>
        <v>#N/A</v>
      </c>
      <c r="C109" s="148" t="e">
        <f ca="1">OFFSET('自動車台帳'!E110,'自動車台帳'!$AP110,0)</f>
        <v>#N/A</v>
      </c>
      <c r="D109" s="148" t="e">
        <f ca="1">OFFSET('自動車台帳'!F110,'自動車台帳'!$AP110,0)</f>
        <v>#N/A</v>
      </c>
      <c r="E109" s="149" t="e">
        <f ca="1">OFFSET('自動車台帳'!G110,'自動車台帳'!$AP110,0)</f>
        <v>#N/A</v>
      </c>
      <c r="F109" s="150" t="e">
        <f ca="1">OFFSET('自動車台帳'!H110,'自動車台帳'!$AP110,0)</f>
        <v>#N/A</v>
      </c>
      <c r="G109" s="148" t="e">
        <f ca="1">OFFSET('自動車台帳'!I110,'自動車台帳'!$AP110,0)</f>
        <v>#N/A</v>
      </c>
      <c r="H109" s="148" t="e">
        <f ca="1">OFFSET('自動車台帳'!J110,'自動車台帳'!$AP110,0)</f>
        <v>#N/A</v>
      </c>
      <c r="I109" s="149" t="e">
        <f ca="1">OFFSET('自動車台帳'!K110,'自動車台帳'!$AP110,0)</f>
        <v>#N/A</v>
      </c>
      <c r="J109" s="151" t="e">
        <f ca="1">OFFSET('自動車台帳'!L110,'自動車台帳'!$AP110,0)</f>
        <v>#N/A</v>
      </c>
      <c r="K109" s="152" t="e">
        <f ca="1">OFFSET('自動車台帳'!M110,'自動車台帳'!$AP110,0)</f>
        <v>#N/A</v>
      </c>
      <c r="L109" s="152" t="e">
        <f ca="1">OFFSET('自動車台帳'!N110,'自動車台帳'!$AP110,0)</f>
        <v>#N/A</v>
      </c>
      <c r="M109" s="148" t="e">
        <f ca="1">OFFSET('自動車台帳'!AB110,'自動車台帳'!$AP110,0)</f>
        <v>#N/A</v>
      </c>
      <c r="N109" s="148" t="e">
        <f ca="1">OFFSET('自動車台帳'!AC110,'自動車台帳'!$AP110,0)</f>
        <v>#N/A</v>
      </c>
      <c r="O109" s="153" t="e">
        <f ca="1">OFFSET('自動車台帳'!AD110,'自動車台帳'!$AP110,0)</f>
        <v>#N/A</v>
      </c>
      <c r="P109" s="154" t="e">
        <f ca="1">OFFSET('自動車台帳'!AE110,'自動車台帳'!$AP110,0)</f>
        <v>#N/A</v>
      </c>
      <c r="Q109" s="154" t="e">
        <f ca="1">OFFSET('自動車台帳'!AF110,'自動車台帳'!$AP110,0)</f>
        <v>#N/A</v>
      </c>
    </row>
    <row r="110" spans="1:17" ht="13.5">
      <c r="A110" s="148" t="e">
        <f ca="1">OFFSET('自動車台帳'!C111,'自動車台帳'!$AP111,0)</f>
        <v>#N/A</v>
      </c>
      <c r="B110" s="148" t="e">
        <f ca="1">OFFSET('自動車台帳'!D111,'自動車台帳'!$AP111,0)</f>
        <v>#N/A</v>
      </c>
      <c r="C110" s="148" t="e">
        <f ca="1">OFFSET('自動車台帳'!E111,'自動車台帳'!$AP111,0)</f>
        <v>#N/A</v>
      </c>
      <c r="D110" s="148" t="e">
        <f ca="1">OFFSET('自動車台帳'!F111,'自動車台帳'!$AP111,0)</f>
        <v>#N/A</v>
      </c>
      <c r="E110" s="149" t="e">
        <f ca="1">OFFSET('自動車台帳'!G111,'自動車台帳'!$AP111,0)</f>
        <v>#N/A</v>
      </c>
      <c r="F110" s="150" t="e">
        <f ca="1">OFFSET('自動車台帳'!H111,'自動車台帳'!$AP111,0)</f>
        <v>#N/A</v>
      </c>
      <c r="G110" s="148" t="e">
        <f ca="1">OFFSET('自動車台帳'!I111,'自動車台帳'!$AP111,0)</f>
        <v>#N/A</v>
      </c>
      <c r="H110" s="148" t="e">
        <f ca="1">OFFSET('自動車台帳'!J111,'自動車台帳'!$AP111,0)</f>
        <v>#N/A</v>
      </c>
      <c r="I110" s="149" t="e">
        <f ca="1">OFFSET('自動車台帳'!K111,'自動車台帳'!$AP111,0)</f>
        <v>#N/A</v>
      </c>
      <c r="J110" s="151" t="e">
        <f ca="1">OFFSET('自動車台帳'!L111,'自動車台帳'!$AP111,0)</f>
        <v>#N/A</v>
      </c>
      <c r="K110" s="152" t="e">
        <f ca="1">OFFSET('自動車台帳'!M111,'自動車台帳'!$AP111,0)</f>
        <v>#N/A</v>
      </c>
      <c r="L110" s="152" t="e">
        <f ca="1">OFFSET('自動車台帳'!N111,'自動車台帳'!$AP111,0)</f>
        <v>#N/A</v>
      </c>
      <c r="M110" s="148" t="e">
        <f ca="1">OFFSET('自動車台帳'!AB111,'自動車台帳'!$AP111,0)</f>
        <v>#N/A</v>
      </c>
      <c r="N110" s="148" t="e">
        <f ca="1">OFFSET('自動車台帳'!AC111,'自動車台帳'!$AP111,0)</f>
        <v>#N/A</v>
      </c>
      <c r="O110" s="153" t="e">
        <f ca="1">OFFSET('自動車台帳'!AD111,'自動車台帳'!$AP111,0)</f>
        <v>#N/A</v>
      </c>
      <c r="P110" s="154" t="e">
        <f ca="1">OFFSET('自動車台帳'!AE111,'自動車台帳'!$AP111,0)</f>
        <v>#N/A</v>
      </c>
      <c r="Q110" s="154" t="e">
        <f ca="1">OFFSET('自動車台帳'!AF111,'自動車台帳'!$AP111,0)</f>
        <v>#N/A</v>
      </c>
    </row>
    <row r="111" spans="1:17" ht="13.5">
      <c r="A111" s="148" t="e">
        <f ca="1">OFFSET('自動車台帳'!C112,'自動車台帳'!$AP112,0)</f>
        <v>#N/A</v>
      </c>
      <c r="B111" s="148" t="e">
        <f ca="1">OFFSET('自動車台帳'!D112,'自動車台帳'!$AP112,0)</f>
        <v>#N/A</v>
      </c>
      <c r="C111" s="148" t="e">
        <f ca="1">OFFSET('自動車台帳'!E112,'自動車台帳'!$AP112,0)</f>
        <v>#N/A</v>
      </c>
      <c r="D111" s="148" t="e">
        <f ca="1">OFFSET('自動車台帳'!F112,'自動車台帳'!$AP112,0)</f>
        <v>#N/A</v>
      </c>
      <c r="E111" s="149" t="e">
        <f ca="1">OFFSET('自動車台帳'!G112,'自動車台帳'!$AP112,0)</f>
        <v>#N/A</v>
      </c>
      <c r="F111" s="150" t="e">
        <f ca="1">OFFSET('自動車台帳'!H112,'自動車台帳'!$AP112,0)</f>
        <v>#N/A</v>
      </c>
      <c r="G111" s="148" t="e">
        <f ca="1">OFFSET('自動車台帳'!I112,'自動車台帳'!$AP112,0)</f>
        <v>#N/A</v>
      </c>
      <c r="H111" s="148" t="e">
        <f ca="1">OFFSET('自動車台帳'!J112,'自動車台帳'!$AP112,0)</f>
        <v>#N/A</v>
      </c>
      <c r="I111" s="149" t="e">
        <f ca="1">OFFSET('自動車台帳'!K112,'自動車台帳'!$AP112,0)</f>
        <v>#N/A</v>
      </c>
      <c r="J111" s="151" t="e">
        <f ca="1">OFFSET('自動車台帳'!L112,'自動車台帳'!$AP112,0)</f>
        <v>#N/A</v>
      </c>
      <c r="K111" s="152" t="e">
        <f ca="1">OFFSET('自動車台帳'!M112,'自動車台帳'!$AP112,0)</f>
        <v>#N/A</v>
      </c>
      <c r="L111" s="152" t="e">
        <f ca="1">OFFSET('自動車台帳'!N112,'自動車台帳'!$AP112,0)</f>
        <v>#N/A</v>
      </c>
      <c r="M111" s="148" t="e">
        <f ca="1">OFFSET('自動車台帳'!AB112,'自動車台帳'!$AP112,0)</f>
        <v>#N/A</v>
      </c>
      <c r="N111" s="148" t="e">
        <f ca="1">OFFSET('自動車台帳'!AC112,'自動車台帳'!$AP112,0)</f>
        <v>#N/A</v>
      </c>
      <c r="O111" s="153" t="e">
        <f ca="1">OFFSET('自動車台帳'!AD112,'自動車台帳'!$AP112,0)</f>
        <v>#N/A</v>
      </c>
      <c r="P111" s="154" t="e">
        <f ca="1">OFFSET('自動車台帳'!AE112,'自動車台帳'!$AP112,0)</f>
        <v>#N/A</v>
      </c>
      <c r="Q111" s="154" t="e">
        <f ca="1">OFFSET('自動車台帳'!AF112,'自動車台帳'!$AP112,0)</f>
        <v>#N/A</v>
      </c>
    </row>
    <row r="112" spans="1:17" ht="13.5">
      <c r="A112" s="148" t="e">
        <f ca="1">OFFSET('自動車台帳'!C113,'自動車台帳'!$AP113,0)</f>
        <v>#N/A</v>
      </c>
      <c r="B112" s="148" t="e">
        <f ca="1">OFFSET('自動車台帳'!D113,'自動車台帳'!$AP113,0)</f>
        <v>#N/A</v>
      </c>
      <c r="C112" s="148" t="e">
        <f ca="1">OFFSET('自動車台帳'!E113,'自動車台帳'!$AP113,0)</f>
        <v>#N/A</v>
      </c>
      <c r="D112" s="148" t="e">
        <f ca="1">OFFSET('自動車台帳'!F113,'自動車台帳'!$AP113,0)</f>
        <v>#N/A</v>
      </c>
      <c r="E112" s="149" t="e">
        <f ca="1">OFFSET('自動車台帳'!G113,'自動車台帳'!$AP113,0)</f>
        <v>#N/A</v>
      </c>
      <c r="F112" s="150" t="e">
        <f ca="1">OFFSET('自動車台帳'!H113,'自動車台帳'!$AP113,0)</f>
        <v>#N/A</v>
      </c>
      <c r="G112" s="148" t="e">
        <f ca="1">OFFSET('自動車台帳'!I113,'自動車台帳'!$AP113,0)</f>
        <v>#N/A</v>
      </c>
      <c r="H112" s="148" t="e">
        <f ca="1">OFFSET('自動車台帳'!J113,'自動車台帳'!$AP113,0)</f>
        <v>#N/A</v>
      </c>
      <c r="I112" s="149" t="e">
        <f ca="1">OFFSET('自動車台帳'!K113,'自動車台帳'!$AP113,0)</f>
        <v>#N/A</v>
      </c>
      <c r="J112" s="151" t="e">
        <f ca="1">OFFSET('自動車台帳'!L113,'自動車台帳'!$AP113,0)</f>
        <v>#N/A</v>
      </c>
      <c r="K112" s="152" t="e">
        <f ca="1">OFFSET('自動車台帳'!M113,'自動車台帳'!$AP113,0)</f>
        <v>#N/A</v>
      </c>
      <c r="L112" s="152" t="e">
        <f ca="1">OFFSET('自動車台帳'!N113,'自動車台帳'!$AP113,0)</f>
        <v>#N/A</v>
      </c>
      <c r="M112" s="148" t="e">
        <f ca="1">OFFSET('自動車台帳'!AB113,'自動車台帳'!$AP113,0)</f>
        <v>#N/A</v>
      </c>
      <c r="N112" s="148" t="e">
        <f ca="1">OFFSET('自動車台帳'!AC113,'自動車台帳'!$AP113,0)</f>
        <v>#N/A</v>
      </c>
      <c r="O112" s="153" t="e">
        <f ca="1">OFFSET('自動車台帳'!AD113,'自動車台帳'!$AP113,0)</f>
        <v>#N/A</v>
      </c>
      <c r="P112" s="154" t="e">
        <f ca="1">OFFSET('自動車台帳'!AE113,'自動車台帳'!$AP113,0)</f>
        <v>#N/A</v>
      </c>
      <c r="Q112" s="154" t="e">
        <f ca="1">OFFSET('自動車台帳'!AF113,'自動車台帳'!$AP113,0)</f>
        <v>#N/A</v>
      </c>
    </row>
    <row r="113" spans="1:17" ht="13.5">
      <c r="A113" s="148" t="e">
        <f ca="1">OFFSET('自動車台帳'!C114,'自動車台帳'!$AP114,0)</f>
        <v>#N/A</v>
      </c>
      <c r="B113" s="148" t="e">
        <f ca="1">OFFSET('自動車台帳'!D114,'自動車台帳'!$AP114,0)</f>
        <v>#N/A</v>
      </c>
      <c r="C113" s="148" t="e">
        <f ca="1">OFFSET('自動車台帳'!E114,'自動車台帳'!$AP114,0)</f>
        <v>#N/A</v>
      </c>
      <c r="D113" s="148" t="e">
        <f ca="1">OFFSET('自動車台帳'!F114,'自動車台帳'!$AP114,0)</f>
        <v>#N/A</v>
      </c>
      <c r="E113" s="149" t="e">
        <f ca="1">OFFSET('自動車台帳'!G114,'自動車台帳'!$AP114,0)</f>
        <v>#N/A</v>
      </c>
      <c r="F113" s="150" t="e">
        <f ca="1">OFFSET('自動車台帳'!H114,'自動車台帳'!$AP114,0)</f>
        <v>#N/A</v>
      </c>
      <c r="G113" s="148" t="e">
        <f ca="1">OFFSET('自動車台帳'!I114,'自動車台帳'!$AP114,0)</f>
        <v>#N/A</v>
      </c>
      <c r="H113" s="148" t="e">
        <f ca="1">OFFSET('自動車台帳'!J114,'自動車台帳'!$AP114,0)</f>
        <v>#N/A</v>
      </c>
      <c r="I113" s="149" t="e">
        <f ca="1">OFFSET('自動車台帳'!K114,'自動車台帳'!$AP114,0)</f>
        <v>#N/A</v>
      </c>
      <c r="J113" s="151" t="e">
        <f ca="1">OFFSET('自動車台帳'!L114,'自動車台帳'!$AP114,0)</f>
        <v>#N/A</v>
      </c>
      <c r="K113" s="152" t="e">
        <f ca="1">OFFSET('自動車台帳'!M114,'自動車台帳'!$AP114,0)</f>
        <v>#N/A</v>
      </c>
      <c r="L113" s="152" t="e">
        <f ca="1">OFFSET('自動車台帳'!N114,'自動車台帳'!$AP114,0)</f>
        <v>#N/A</v>
      </c>
      <c r="M113" s="148" t="e">
        <f ca="1">OFFSET('自動車台帳'!AB114,'自動車台帳'!$AP114,0)</f>
        <v>#N/A</v>
      </c>
      <c r="N113" s="148" t="e">
        <f ca="1">OFFSET('自動車台帳'!AC114,'自動車台帳'!$AP114,0)</f>
        <v>#N/A</v>
      </c>
      <c r="O113" s="153" t="e">
        <f ca="1">OFFSET('自動車台帳'!AD114,'自動車台帳'!$AP114,0)</f>
        <v>#N/A</v>
      </c>
      <c r="P113" s="154" t="e">
        <f ca="1">OFFSET('自動車台帳'!AE114,'自動車台帳'!$AP114,0)</f>
        <v>#N/A</v>
      </c>
      <c r="Q113" s="154" t="e">
        <f ca="1">OFFSET('自動車台帳'!AF114,'自動車台帳'!$AP114,0)</f>
        <v>#N/A</v>
      </c>
    </row>
    <row r="114" spans="1:17" ht="13.5">
      <c r="A114" s="148" t="e">
        <f ca="1">OFFSET('自動車台帳'!C115,'自動車台帳'!$AP115,0)</f>
        <v>#N/A</v>
      </c>
      <c r="B114" s="148" t="e">
        <f ca="1">OFFSET('自動車台帳'!D115,'自動車台帳'!$AP115,0)</f>
        <v>#N/A</v>
      </c>
      <c r="C114" s="148" t="e">
        <f ca="1">OFFSET('自動車台帳'!E115,'自動車台帳'!$AP115,0)</f>
        <v>#N/A</v>
      </c>
      <c r="D114" s="148" t="e">
        <f ca="1">OFFSET('自動車台帳'!F115,'自動車台帳'!$AP115,0)</f>
        <v>#N/A</v>
      </c>
      <c r="E114" s="149" t="e">
        <f ca="1">OFFSET('自動車台帳'!G115,'自動車台帳'!$AP115,0)</f>
        <v>#N/A</v>
      </c>
      <c r="F114" s="150" t="e">
        <f ca="1">OFFSET('自動車台帳'!H115,'自動車台帳'!$AP115,0)</f>
        <v>#N/A</v>
      </c>
      <c r="G114" s="148" t="e">
        <f ca="1">OFFSET('自動車台帳'!I115,'自動車台帳'!$AP115,0)</f>
        <v>#N/A</v>
      </c>
      <c r="H114" s="148" t="e">
        <f ca="1">OFFSET('自動車台帳'!J115,'自動車台帳'!$AP115,0)</f>
        <v>#N/A</v>
      </c>
      <c r="I114" s="149" t="e">
        <f ca="1">OFFSET('自動車台帳'!K115,'自動車台帳'!$AP115,0)</f>
        <v>#N/A</v>
      </c>
      <c r="J114" s="151" t="e">
        <f ca="1">OFFSET('自動車台帳'!L115,'自動車台帳'!$AP115,0)</f>
        <v>#N/A</v>
      </c>
      <c r="K114" s="152" t="e">
        <f ca="1">OFFSET('自動車台帳'!M115,'自動車台帳'!$AP115,0)</f>
        <v>#N/A</v>
      </c>
      <c r="L114" s="152" t="e">
        <f ca="1">OFFSET('自動車台帳'!N115,'自動車台帳'!$AP115,0)</f>
        <v>#N/A</v>
      </c>
      <c r="M114" s="148" t="e">
        <f ca="1">OFFSET('自動車台帳'!AB115,'自動車台帳'!$AP115,0)</f>
        <v>#N/A</v>
      </c>
      <c r="N114" s="148" t="e">
        <f ca="1">OFFSET('自動車台帳'!AC115,'自動車台帳'!$AP115,0)</f>
        <v>#N/A</v>
      </c>
      <c r="O114" s="153" t="e">
        <f ca="1">OFFSET('自動車台帳'!AD115,'自動車台帳'!$AP115,0)</f>
        <v>#N/A</v>
      </c>
      <c r="P114" s="154" t="e">
        <f ca="1">OFFSET('自動車台帳'!AE115,'自動車台帳'!$AP115,0)</f>
        <v>#N/A</v>
      </c>
      <c r="Q114" s="154" t="e">
        <f ca="1">OFFSET('自動車台帳'!AF115,'自動車台帳'!$AP115,0)</f>
        <v>#N/A</v>
      </c>
    </row>
    <row r="115" spans="1:17" ht="13.5">
      <c r="A115" s="148" t="e">
        <f ca="1">OFFSET('自動車台帳'!C116,'自動車台帳'!$AP116,0)</f>
        <v>#N/A</v>
      </c>
      <c r="B115" s="148" t="e">
        <f ca="1">OFFSET('自動車台帳'!D116,'自動車台帳'!$AP116,0)</f>
        <v>#N/A</v>
      </c>
      <c r="C115" s="148" t="e">
        <f ca="1">OFFSET('自動車台帳'!E116,'自動車台帳'!$AP116,0)</f>
        <v>#N/A</v>
      </c>
      <c r="D115" s="148" t="e">
        <f ca="1">OFFSET('自動車台帳'!F116,'自動車台帳'!$AP116,0)</f>
        <v>#N/A</v>
      </c>
      <c r="E115" s="149" t="e">
        <f ca="1">OFFSET('自動車台帳'!G116,'自動車台帳'!$AP116,0)</f>
        <v>#N/A</v>
      </c>
      <c r="F115" s="150" t="e">
        <f ca="1">OFFSET('自動車台帳'!H116,'自動車台帳'!$AP116,0)</f>
        <v>#N/A</v>
      </c>
      <c r="G115" s="148" t="e">
        <f ca="1">OFFSET('自動車台帳'!I116,'自動車台帳'!$AP116,0)</f>
        <v>#N/A</v>
      </c>
      <c r="H115" s="148" t="e">
        <f ca="1">OFFSET('自動車台帳'!J116,'自動車台帳'!$AP116,0)</f>
        <v>#N/A</v>
      </c>
      <c r="I115" s="149" t="e">
        <f ca="1">OFFSET('自動車台帳'!K116,'自動車台帳'!$AP116,0)</f>
        <v>#N/A</v>
      </c>
      <c r="J115" s="151" t="e">
        <f ca="1">OFFSET('自動車台帳'!L116,'自動車台帳'!$AP116,0)</f>
        <v>#N/A</v>
      </c>
      <c r="K115" s="152" t="e">
        <f ca="1">OFFSET('自動車台帳'!M116,'自動車台帳'!$AP116,0)</f>
        <v>#N/A</v>
      </c>
      <c r="L115" s="152" t="e">
        <f ca="1">OFFSET('自動車台帳'!N116,'自動車台帳'!$AP116,0)</f>
        <v>#N/A</v>
      </c>
      <c r="M115" s="148" t="e">
        <f ca="1">OFFSET('自動車台帳'!AB116,'自動車台帳'!$AP116,0)</f>
        <v>#N/A</v>
      </c>
      <c r="N115" s="148" t="e">
        <f ca="1">OFFSET('自動車台帳'!AC116,'自動車台帳'!$AP116,0)</f>
        <v>#N/A</v>
      </c>
      <c r="O115" s="153" t="e">
        <f ca="1">OFFSET('自動車台帳'!AD116,'自動車台帳'!$AP116,0)</f>
        <v>#N/A</v>
      </c>
      <c r="P115" s="154" t="e">
        <f ca="1">OFFSET('自動車台帳'!AE116,'自動車台帳'!$AP116,0)</f>
        <v>#N/A</v>
      </c>
      <c r="Q115" s="154" t="e">
        <f ca="1">OFFSET('自動車台帳'!AF116,'自動車台帳'!$AP116,0)</f>
        <v>#N/A</v>
      </c>
    </row>
    <row r="116" spans="1:17" ht="13.5">
      <c r="A116" s="148" t="e">
        <f ca="1">OFFSET('自動車台帳'!C117,'自動車台帳'!$AP117,0)</f>
        <v>#N/A</v>
      </c>
      <c r="B116" s="148" t="e">
        <f ca="1">OFFSET('自動車台帳'!D117,'自動車台帳'!$AP117,0)</f>
        <v>#N/A</v>
      </c>
      <c r="C116" s="148" t="e">
        <f ca="1">OFFSET('自動車台帳'!E117,'自動車台帳'!$AP117,0)</f>
        <v>#N/A</v>
      </c>
      <c r="D116" s="148" t="e">
        <f ca="1">OFFSET('自動車台帳'!F117,'自動車台帳'!$AP117,0)</f>
        <v>#N/A</v>
      </c>
      <c r="E116" s="149" t="e">
        <f ca="1">OFFSET('自動車台帳'!G117,'自動車台帳'!$AP117,0)</f>
        <v>#N/A</v>
      </c>
      <c r="F116" s="150" t="e">
        <f ca="1">OFFSET('自動車台帳'!H117,'自動車台帳'!$AP117,0)</f>
        <v>#N/A</v>
      </c>
      <c r="G116" s="148" t="e">
        <f ca="1">OFFSET('自動車台帳'!I117,'自動車台帳'!$AP117,0)</f>
        <v>#N/A</v>
      </c>
      <c r="H116" s="148" t="e">
        <f ca="1">OFFSET('自動車台帳'!J117,'自動車台帳'!$AP117,0)</f>
        <v>#N/A</v>
      </c>
      <c r="I116" s="149" t="e">
        <f ca="1">OFFSET('自動車台帳'!K117,'自動車台帳'!$AP117,0)</f>
        <v>#N/A</v>
      </c>
      <c r="J116" s="151" t="e">
        <f ca="1">OFFSET('自動車台帳'!L117,'自動車台帳'!$AP117,0)</f>
        <v>#N/A</v>
      </c>
      <c r="K116" s="152" t="e">
        <f ca="1">OFFSET('自動車台帳'!M117,'自動車台帳'!$AP117,0)</f>
        <v>#N/A</v>
      </c>
      <c r="L116" s="152" t="e">
        <f ca="1">OFFSET('自動車台帳'!N117,'自動車台帳'!$AP117,0)</f>
        <v>#N/A</v>
      </c>
      <c r="M116" s="148" t="e">
        <f ca="1">OFFSET('自動車台帳'!AB117,'自動車台帳'!$AP117,0)</f>
        <v>#N/A</v>
      </c>
      <c r="N116" s="148" t="e">
        <f ca="1">OFFSET('自動車台帳'!AC117,'自動車台帳'!$AP117,0)</f>
        <v>#N/A</v>
      </c>
      <c r="O116" s="153" t="e">
        <f ca="1">OFFSET('自動車台帳'!AD117,'自動車台帳'!$AP117,0)</f>
        <v>#N/A</v>
      </c>
      <c r="P116" s="154" t="e">
        <f ca="1">OFFSET('自動車台帳'!AE117,'自動車台帳'!$AP117,0)</f>
        <v>#N/A</v>
      </c>
      <c r="Q116" s="154" t="e">
        <f ca="1">OFFSET('自動車台帳'!AF117,'自動車台帳'!$AP117,0)</f>
        <v>#N/A</v>
      </c>
    </row>
    <row r="117" spans="1:17" ht="13.5">
      <c r="A117" s="148" t="e">
        <f ca="1">OFFSET('自動車台帳'!C118,'自動車台帳'!$AP118,0)</f>
        <v>#N/A</v>
      </c>
      <c r="B117" s="148" t="e">
        <f ca="1">OFFSET('自動車台帳'!D118,'自動車台帳'!$AP118,0)</f>
        <v>#N/A</v>
      </c>
      <c r="C117" s="148" t="e">
        <f ca="1">OFFSET('自動車台帳'!E118,'自動車台帳'!$AP118,0)</f>
        <v>#N/A</v>
      </c>
      <c r="D117" s="148" t="e">
        <f ca="1">OFFSET('自動車台帳'!F118,'自動車台帳'!$AP118,0)</f>
        <v>#N/A</v>
      </c>
      <c r="E117" s="149" t="e">
        <f ca="1">OFFSET('自動車台帳'!G118,'自動車台帳'!$AP118,0)</f>
        <v>#N/A</v>
      </c>
      <c r="F117" s="150" t="e">
        <f ca="1">OFFSET('自動車台帳'!H118,'自動車台帳'!$AP118,0)</f>
        <v>#N/A</v>
      </c>
      <c r="G117" s="148" t="e">
        <f ca="1">OFFSET('自動車台帳'!I118,'自動車台帳'!$AP118,0)</f>
        <v>#N/A</v>
      </c>
      <c r="H117" s="148" t="e">
        <f ca="1">OFFSET('自動車台帳'!J118,'自動車台帳'!$AP118,0)</f>
        <v>#N/A</v>
      </c>
      <c r="I117" s="149" t="e">
        <f ca="1">OFFSET('自動車台帳'!K118,'自動車台帳'!$AP118,0)</f>
        <v>#N/A</v>
      </c>
      <c r="J117" s="151" t="e">
        <f ca="1">OFFSET('自動車台帳'!L118,'自動車台帳'!$AP118,0)</f>
        <v>#N/A</v>
      </c>
      <c r="K117" s="152" t="e">
        <f ca="1">OFFSET('自動車台帳'!M118,'自動車台帳'!$AP118,0)</f>
        <v>#N/A</v>
      </c>
      <c r="L117" s="152" t="e">
        <f ca="1">OFFSET('自動車台帳'!N118,'自動車台帳'!$AP118,0)</f>
        <v>#N/A</v>
      </c>
      <c r="M117" s="148" t="e">
        <f ca="1">OFFSET('自動車台帳'!AB118,'自動車台帳'!$AP118,0)</f>
        <v>#N/A</v>
      </c>
      <c r="N117" s="148" t="e">
        <f ca="1">OFFSET('自動車台帳'!AC118,'自動車台帳'!$AP118,0)</f>
        <v>#N/A</v>
      </c>
      <c r="O117" s="153" t="e">
        <f ca="1">OFFSET('自動車台帳'!AD118,'自動車台帳'!$AP118,0)</f>
        <v>#N/A</v>
      </c>
      <c r="P117" s="154" t="e">
        <f ca="1">OFFSET('自動車台帳'!AE118,'自動車台帳'!$AP118,0)</f>
        <v>#N/A</v>
      </c>
      <c r="Q117" s="154" t="e">
        <f ca="1">OFFSET('自動車台帳'!AF118,'自動車台帳'!$AP118,0)</f>
        <v>#N/A</v>
      </c>
    </row>
    <row r="118" spans="1:17" ht="13.5">
      <c r="A118" s="148" t="e">
        <f ca="1">OFFSET('自動車台帳'!C119,'自動車台帳'!$AP119,0)</f>
        <v>#N/A</v>
      </c>
      <c r="B118" s="148" t="e">
        <f ca="1">OFFSET('自動車台帳'!D119,'自動車台帳'!$AP119,0)</f>
        <v>#N/A</v>
      </c>
      <c r="C118" s="148" t="e">
        <f ca="1">OFFSET('自動車台帳'!E119,'自動車台帳'!$AP119,0)</f>
        <v>#N/A</v>
      </c>
      <c r="D118" s="148" t="e">
        <f ca="1">OFFSET('自動車台帳'!F119,'自動車台帳'!$AP119,0)</f>
        <v>#N/A</v>
      </c>
      <c r="E118" s="149" t="e">
        <f ca="1">OFFSET('自動車台帳'!G119,'自動車台帳'!$AP119,0)</f>
        <v>#N/A</v>
      </c>
      <c r="F118" s="150" t="e">
        <f ca="1">OFFSET('自動車台帳'!H119,'自動車台帳'!$AP119,0)</f>
        <v>#N/A</v>
      </c>
      <c r="G118" s="148" t="e">
        <f ca="1">OFFSET('自動車台帳'!I119,'自動車台帳'!$AP119,0)</f>
        <v>#N/A</v>
      </c>
      <c r="H118" s="148" t="e">
        <f ca="1">OFFSET('自動車台帳'!J119,'自動車台帳'!$AP119,0)</f>
        <v>#N/A</v>
      </c>
      <c r="I118" s="149" t="e">
        <f ca="1">OFFSET('自動車台帳'!K119,'自動車台帳'!$AP119,0)</f>
        <v>#N/A</v>
      </c>
      <c r="J118" s="151" t="e">
        <f ca="1">OFFSET('自動車台帳'!L119,'自動車台帳'!$AP119,0)</f>
        <v>#N/A</v>
      </c>
      <c r="K118" s="152" t="e">
        <f ca="1">OFFSET('自動車台帳'!M119,'自動車台帳'!$AP119,0)</f>
        <v>#N/A</v>
      </c>
      <c r="L118" s="152" t="e">
        <f ca="1">OFFSET('自動車台帳'!N119,'自動車台帳'!$AP119,0)</f>
        <v>#N/A</v>
      </c>
      <c r="M118" s="148" t="e">
        <f ca="1">OFFSET('自動車台帳'!AB119,'自動車台帳'!$AP119,0)</f>
        <v>#N/A</v>
      </c>
      <c r="N118" s="148" t="e">
        <f ca="1">OFFSET('自動車台帳'!AC119,'自動車台帳'!$AP119,0)</f>
        <v>#N/A</v>
      </c>
      <c r="O118" s="153" t="e">
        <f ca="1">OFFSET('自動車台帳'!AD119,'自動車台帳'!$AP119,0)</f>
        <v>#N/A</v>
      </c>
      <c r="P118" s="154" t="e">
        <f ca="1">OFFSET('自動車台帳'!AE119,'自動車台帳'!$AP119,0)</f>
        <v>#N/A</v>
      </c>
      <c r="Q118" s="154" t="e">
        <f ca="1">OFFSET('自動車台帳'!AF119,'自動車台帳'!$AP119,0)</f>
        <v>#N/A</v>
      </c>
    </row>
    <row r="119" spans="1:17" ht="13.5">
      <c r="A119" s="148" t="e">
        <f ca="1">OFFSET('自動車台帳'!C120,'自動車台帳'!$AP120,0)</f>
        <v>#N/A</v>
      </c>
      <c r="B119" s="148" t="e">
        <f ca="1">OFFSET('自動車台帳'!D120,'自動車台帳'!$AP120,0)</f>
        <v>#N/A</v>
      </c>
      <c r="C119" s="148" t="e">
        <f ca="1">OFFSET('自動車台帳'!E120,'自動車台帳'!$AP120,0)</f>
        <v>#N/A</v>
      </c>
      <c r="D119" s="148" t="e">
        <f ca="1">OFFSET('自動車台帳'!F120,'自動車台帳'!$AP120,0)</f>
        <v>#N/A</v>
      </c>
      <c r="E119" s="149" t="e">
        <f ca="1">OFFSET('自動車台帳'!G120,'自動車台帳'!$AP120,0)</f>
        <v>#N/A</v>
      </c>
      <c r="F119" s="150" t="e">
        <f ca="1">OFFSET('自動車台帳'!H120,'自動車台帳'!$AP120,0)</f>
        <v>#N/A</v>
      </c>
      <c r="G119" s="148" t="e">
        <f ca="1">OFFSET('自動車台帳'!I120,'自動車台帳'!$AP120,0)</f>
        <v>#N/A</v>
      </c>
      <c r="H119" s="148" t="e">
        <f ca="1">OFFSET('自動車台帳'!J120,'自動車台帳'!$AP120,0)</f>
        <v>#N/A</v>
      </c>
      <c r="I119" s="149" t="e">
        <f ca="1">OFFSET('自動車台帳'!K120,'自動車台帳'!$AP120,0)</f>
        <v>#N/A</v>
      </c>
      <c r="J119" s="151" t="e">
        <f ca="1">OFFSET('自動車台帳'!L120,'自動車台帳'!$AP120,0)</f>
        <v>#N/A</v>
      </c>
      <c r="K119" s="152" t="e">
        <f ca="1">OFFSET('自動車台帳'!M120,'自動車台帳'!$AP120,0)</f>
        <v>#N/A</v>
      </c>
      <c r="L119" s="152" t="e">
        <f ca="1">OFFSET('自動車台帳'!N120,'自動車台帳'!$AP120,0)</f>
        <v>#N/A</v>
      </c>
      <c r="M119" s="148" t="e">
        <f ca="1">OFFSET('自動車台帳'!AB120,'自動車台帳'!$AP120,0)</f>
        <v>#N/A</v>
      </c>
      <c r="N119" s="148" t="e">
        <f ca="1">OFFSET('自動車台帳'!AC120,'自動車台帳'!$AP120,0)</f>
        <v>#N/A</v>
      </c>
      <c r="O119" s="153" t="e">
        <f ca="1">OFFSET('自動車台帳'!AD120,'自動車台帳'!$AP120,0)</f>
        <v>#N/A</v>
      </c>
      <c r="P119" s="154" t="e">
        <f ca="1">OFFSET('自動車台帳'!AE120,'自動車台帳'!$AP120,0)</f>
        <v>#N/A</v>
      </c>
      <c r="Q119" s="154" t="e">
        <f ca="1">OFFSET('自動車台帳'!AF120,'自動車台帳'!$AP120,0)</f>
        <v>#N/A</v>
      </c>
    </row>
    <row r="120" spans="1:17" ht="13.5">
      <c r="A120" s="148" t="e">
        <f ca="1">OFFSET('自動車台帳'!C121,'自動車台帳'!$AP121,0)</f>
        <v>#N/A</v>
      </c>
      <c r="B120" s="148" t="e">
        <f ca="1">OFFSET('自動車台帳'!D121,'自動車台帳'!$AP121,0)</f>
        <v>#N/A</v>
      </c>
      <c r="C120" s="148" t="e">
        <f ca="1">OFFSET('自動車台帳'!E121,'自動車台帳'!$AP121,0)</f>
        <v>#N/A</v>
      </c>
      <c r="D120" s="148" t="e">
        <f ca="1">OFFSET('自動車台帳'!F121,'自動車台帳'!$AP121,0)</f>
        <v>#N/A</v>
      </c>
      <c r="E120" s="149" t="e">
        <f ca="1">OFFSET('自動車台帳'!G121,'自動車台帳'!$AP121,0)</f>
        <v>#N/A</v>
      </c>
      <c r="F120" s="150" t="e">
        <f ca="1">OFFSET('自動車台帳'!H121,'自動車台帳'!$AP121,0)</f>
        <v>#N/A</v>
      </c>
      <c r="G120" s="148" t="e">
        <f ca="1">OFFSET('自動車台帳'!I121,'自動車台帳'!$AP121,0)</f>
        <v>#N/A</v>
      </c>
      <c r="H120" s="148" t="e">
        <f ca="1">OFFSET('自動車台帳'!J121,'自動車台帳'!$AP121,0)</f>
        <v>#N/A</v>
      </c>
      <c r="I120" s="149" t="e">
        <f ca="1">OFFSET('自動車台帳'!K121,'自動車台帳'!$AP121,0)</f>
        <v>#N/A</v>
      </c>
      <c r="J120" s="151" t="e">
        <f ca="1">OFFSET('自動車台帳'!L121,'自動車台帳'!$AP121,0)</f>
        <v>#N/A</v>
      </c>
      <c r="K120" s="152" t="e">
        <f ca="1">OFFSET('自動車台帳'!M121,'自動車台帳'!$AP121,0)</f>
        <v>#N/A</v>
      </c>
      <c r="L120" s="152" t="e">
        <f ca="1">OFFSET('自動車台帳'!N121,'自動車台帳'!$AP121,0)</f>
        <v>#N/A</v>
      </c>
      <c r="M120" s="148" t="e">
        <f ca="1">OFFSET('自動車台帳'!AB121,'自動車台帳'!$AP121,0)</f>
        <v>#N/A</v>
      </c>
      <c r="N120" s="148" t="e">
        <f ca="1">OFFSET('自動車台帳'!AC121,'自動車台帳'!$AP121,0)</f>
        <v>#N/A</v>
      </c>
      <c r="O120" s="153" t="e">
        <f ca="1">OFFSET('自動車台帳'!AD121,'自動車台帳'!$AP121,0)</f>
        <v>#N/A</v>
      </c>
      <c r="P120" s="154" t="e">
        <f ca="1">OFFSET('自動車台帳'!AE121,'自動車台帳'!$AP121,0)</f>
        <v>#N/A</v>
      </c>
      <c r="Q120" s="154" t="e">
        <f ca="1">OFFSET('自動車台帳'!AF121,'自動車台帳'!$AP121,0)</f>
        <v>#N/A</v>
      </c>
    </row>
    <row r="121" spans="1:17" ht="13.5">
      <c r="A121" s="148" t="e">
        <f ca="1">OFFSET('自動車台帳'!C122,'自動車台帳'!$AP122,0)</f>
        <v>#N/A</v>
      </c>
      <c r="B121" s="148" t="e">
        <f ca="1">OFFSET('自動車台帳'!D122,'自動車台帳'!$AP122,0)</f>
        <v>#N/A</v>
      </c>
      <c r="C121" s="148" t="e">
        <f ca="1">OFFSET('自動車台帳'!E122,'自動車台帳'!$AP122,0)</f>
        <v>#N/A</v>
      </c>
      <c r="D121" s="148" t="e">
        <f ca="1">OFFSET('自動車台帳'!F122,'自動車台帳'!$AP122,0)</f>
        <v>#N/A</v>
      </c>
      <c r="E121" s="149" t="e">
        <f ca="1">OFFSET('自動車台帳'!G122,'自動車台帳'!$AP122,0)</f>
        <v>#N/A</v>
      </c>
      <c r="F121" s="150" t="e">
        <f ca="1">OFFSET('自動車台帳'!H122,'自動車台帳'!$AP122,0)</f>
        <v>#N/A</v>
      </c>
      <c r="G121" s="148" t="e">
        <f ca="1">OFFSET('自動車台帳'!I122,'自動車台帳'!$AP122,0)</f>
        <v>#N/A</v>
      </c>
      <c r="H121" s="148" t="e">
        <f ca="1">OFFSET('自動車台帳'!J122,'自動車台帳'!$AP122,0)</f>
        <v>#N/A</v>
      </c>
      <c r="I121" s="149" t="e">
        <f ca="1">OFFSET('自動車台帳'!K122,'自動車台帳'!$AP122,0)</f>
        <v>#N/A</v>
      </c>
      <c r="J121" s="151" t="e">
        <f ca="1">OFFSET('自動車台帳'!L122,'自動車台帳'!$AP122,0)</f>
        <v>#N/A</v>
      </c>
      <c r="K121" s="152" t="e">
        <f ca="1">OFFSET('自動車台帳'!M122,'自動車台帳'!$AP122,0)</f>
        <v>#N/A</v>
      </c>
      <c r="L121" s="152" t="e">
        <f ca="1">OFFSET('自動車台帳'!N122,'自動車台帳'!$AP122,0)</f>
        <v>#N/A</v>
      </c>
      <c r="M121" s="148" t="e">
        <f ca="1">OFFSET('自動車台帳'!AB122,'自動車台帳'!$AP122,0)</f>
        <v>#N/A</v>
      </c>
      <c r="N121" s="148" t="e">
        <f ca="1">OFFSET('自動車台帳'!AC122,'自動車台帳'!$AP122,0)</f>
        <v>#N/A</v>
      </c>
      <c r="O121" s="153" t="e">
        <f ca="1">OFFSET('自動車台帳'!AD122,'自動車台帳'!$AP122,0)</f>
        <v>#N/A</v>
      </c>
      <c r="P121" s="154" t="e">
        <f ca="1">OFFSET('自動車台帳'!AE122,'自動車台帳'!$AP122,0)</f>
        <v>#N/A</v>
      </c>
      <c r="Q121" s="154" t="e">
        <f ca="1">OFFSET('自動車台帳'!AF122,'自動車台帳'!$AP122,0)</f>
        <v>#N/A</v>
      </c>
    </row>
    <row r="122" spans="1:17" ht="13.5">
      <c r="A122" s="148" t="e">
        <f ca="1">OFFSET('自動車台帳'!C123,'自動車台帳'!$AP123,0)</f>
        <v>#N/A</v>
      </c>
      <c r="B122" s="148" t="e">
        <f ca="1">OFFSET('自動車台帳'!D123,'自動車台帳'!$AP123,0)</f>
        <v>#N/A</v>
      </c>
      <c r="C122" s="148" t="e">
        <f ca="1">OFFSET('自動車台帳'!E123,'自動車台帳'!$AP123,0)</f>
        <v>#N/A</v>
      </c>
      <c r="D122" s="148" t="e">
        <f ca="1">OFFSET('自動車台帳'!F123,'自動車台帳'!$AP123,0)</f>
        <v>#N/A</v>
      </c>
      <c r="E122" s="149" t="e">
        <f ca="1">OFFSET('自動車台帳'!G123,'自動車台帳'!$AP123,0)</f>
        <v>#N/A</v>
      </c>
      <c r="F122" s="150" t="e">
        <f ca="1">OFFSET('自動車台帳'!H123,'自動車台帳'!$AP123,0)</f>
        <v>#N/A</v>
      </c>
      <c r="G122" s="148" t="e">
        <f ca="1">OFFSET('自動車台帳'!I123,'自動車台帳'!$AP123,0)</f>
        <v>#N/A</v>
      </c>
      <c r="H122" s="148" t="e">
        <f ca="1">OFFSET('自動車台帳'!J123,'自動車台帳'!$AP123,0)</f>
        <v>#N/A</v>
      </c>
      <c r="I122" s="149" t="e">
        <f ca="1">OFFSET('自動車台帳'!K123,'自動車台帳'!$AP123,0)</f>
        <v>#N/A</v>
      </c>
      <c r="J122" s="151" t="e">
        <f ca="1">OFFSET('自動車台帳'!L123,'自動車台帳'!$AP123,0)</f>
        <v>#N/A</v>
      </c>
      <c r="K122" s="152" t="e">
        <f ca="1">OFFSET('自動車台帳'!M123,'自動車台帳'!$AP123,0)</f>
        <v>#N/A</v>
      </c>
      <c r="L122" s="152" t="e">
        <f ca="1">OFFSET('自動車台帳'!N123,'自動車台帳'!$AP123,0)</f>
        <v>#N/A</v>
      </c>
      <c r="M122" s="148" t="e">
        <f ca="1">OFFSET('自動車台帳'!AB123,'自動車台帳'!$AP123,0)</f>
        <v>#N/A</v>
      </c>
      <c r="N122" s="148" t="e">
        <f ca="1">OFFSET('自動車台帳'!AC123,'自動車台帳'!$AP123,0)</f>
        <v>#N/A</v>
      </c>
      <c r="O122" s="153" t="e">
        <f ca="1">OFFSET('自動車台帳'!AD123,'自動車台帳'!$AP123,0)</f>
        <v>#N/A</v>
      </c>
      <c r="P122" s="154" t="e">
        <f ca="1">OFFSET('自動車台帳'!AE123,'自動車台帳'!$AP123,0)</f>
        <v>#N/A</v>
      </c>
      <c r="Q122" s="154" t="e">
        <f ca="1">OFFSET('自動車台帳'!AF123,'自動車台帳'!$AP123,0)</f>
        <v>#N/A</v>
      </c>
    </row>
    <row r="123" spans="1:17" ht="13.5">
      <c r="A123" s="148" t="e">
        <f ca="1">OFFSET('自動車台帳'!C124,'自動車台帳'!$AP124,0)</f>
        <v>#N/A</v>
      </c>
      <c r="B123" s="148" t="e">
        <f ca="1">OFFSET('自動車台帳'!D124,'自動車台帳'!$AP124,0)</f>
        <v>#N/A</v>
      </c>
      <c r="C123" s="148" t="e">
        <f ca="1">OFFSET('自動車台帳'!E124,'自動車台帳'!$AP124,0)</f>
        <v>#N/A</v>
      </c>
      <c r="D123" s="148" t="e">
        <f ca="1">OFFSET('自動車台帳'!F124,'自動車台帳'!$AP124,0)</f>
        <v>#N/A</v>
      </c>
      <c r="E123" s="149" t="e">
        <f ca="1">OFFSET('自動車台帳'!G124,'自動車台帳'!$AP124,0)</f>
        <v>#N/A</v>
      </c>
      <c r="F123" s="150" t="e">
        <f ca="1">OFFSET('自動車台帳'!H124,'自動車台帳'!$AP124,0)</f>
        <v>#N/A</v>
      </c>
      <c r="G123" s="148" t="e">
        <f ca="1">OFFSET('自動車台帳'!I124,'自動車台帳'!$AP124,0)</f>
        <v>#N/A</v>
      </c>
      <c r="H123" s="148" t="e">
        <f ca="1">OFFSET('自動車台帳'!J124,'自動車台帳'!$AP124,0)</f>
        <v>#N/A</v>
      </c>
      <c r="I123" s="149" t="e">
        <f ca="1">OFFSET('自動車台帳'!K124,'自動車台帳'!$AP124,0)</f>
        <v>#N/A</v>
      </c>
      <c r="J123" s="151" t="e">
        <f ca="1">OFFSET('自動車台帳'!L124,'自動車台帳'!$AP124,0)</f>
        <v>#N/A</v>
      </c>
      <c r="K123" s="152" t="e">
        <f ca="1">OFFSET('自動車台帳'!M124,'自動車台帳'!$AP124,0)</f>
        <v>#N/A</v>
      </c>
      <c r="L123" s="152" t="e">
        <f ca="1">OFFSET('自動車台帳'!N124,'自動車台帳'!$AP124,0)</f>
        <v>#N/A</v>
      </c>
      <c r="M123" s="148" t="e">
        <f ca="1">OFFSET('自動車台帳'!AB124,'自動車台帳'!$AP124,0)</f>
        <v>#N/A</v>
      </c>
      <c r="N123" s="148" t="e">
        <f ca="1">OFFSET('自動車台帳'!AC124,'自動車台帳'!$AP124,0)</f>
        <v>#N/A</v>
      </c>
      <c r="O123" s="153" t="e">
        <f ca="1">OFFSET('自動車台帳'!AD124,'自動車台帳'!$AP124,0)</f>
        <v>#N/A</v>
      </c>
      <c r="P123" s="154" t="e">
        <f ca="1">OFFSET('自動車台帳'!AE124,'自動車台帳'!$AP124,0)</f>
        <v>#N/A</v>
      </c>
      <c r="Q123" s="154" t="e">
        <f ca="1">OFFSET('自動車台帳'!AF124,'自動車台帳'!$AP124,0)</f>
        <v>#N/A</v>
      </c>
    </row>
    <row r="124" spans="1:17" ht="13.5">
      <c r="A124" s="148" t="e">
        <f ca="1">OFFSET('自動車台帳'!C125,'自動車台帳'!$AP125,0)</f>
        <v>#N/A</v>
      </c>
      <c r="B124" s="148" t="e">
        <f ca="1">OFFSET('自動車台帳'!D125,'自動車台帳'!$AP125,0)</f>
        <v>#N/A</v>
      </c>
      <c r="C124" s="148" t="e">
        <f ca="1">OFFSET('自動車台帳'!E125,'自動車台帳'!$AP125,0)</f>
        <v>#N/A</v>
      </c>
      <c r="D124" s="148" t="e">
        <f ca="1">OFFSET('自動車台帳'!F125,'自動車台帳'!$AP125,0)</f>
        <v>#N/A</v>
      </c>
      <c r="E124" s="149" t="e">
        <f ca="1">OFFSET('自動車台帳'!G125,'自動車台帳'!$AP125,0)</f>
        <v>#N/A</v>
      </c>
      <c r="F124" s="150" t="e">
        <f ca="1">OFFSET('自動車台帳'!H125,'自動車台帳'!$AP125,0)</f>
        <v>#N/A</v>
      </c>
      <c r="G124" s="148" t="e">
        <f ca="1">OFFSET('自動車台帳'!I125,'自動車台帳'!$AP125,0)</f>
        <v>#N/A</v>
      </c>
      <c r="H124" s="148" t="e">
        <f ca="1">OFFSET('自動車台帳'!J125,'自動車台帳'!$AP125,0)</f>
        <v>#N/A</v>
      </c>
      <c r="I124" s="149" t="e">
        <f ca="1">OFFSET('自動車台帳'!K125,'自動車台帳'!$AP125,0)</f>
        <v>#N/A</v>
      </c>
      <c r="J124" s="151" t="e">
        <f ca="1">OFFSET('自動車台帳'!L125,'自動車台帳'!$AP125,0)</f>
        <v>#N/A</v>
      </c>
      <c r="K124" s="152" t="e">
        <f ca="1">OFFSET('自動車台帳'!M125,'自動車台帳'!$AP125,0)</f>
        <v>#N/A</v>
      </c>
      <c r="L124" s="152" t="e">
        <f ca="1">OFFSET('自動車台帳'!N125,'自動車台帳'!$AP125,0)</f>
        <v>#N/A</v>
      </c>
      <c r="M124" s="148" t="e">
        <f ca="1">OFFSET('自動車台帳'!AB125,'自動車台帳'!$AP125,0)</f>
        <v>#N/A</v>
      </c>
      <c r="N124" s="148" t="e">
        <f ca="1">OFFSET('自動車台帳'!AC125,'自動車台帳'!$AP125,0)</f>
        <v>#N/A</v>
      </c>
      <c r="O124" s="153" t="e">
        <f ca="1">OFFSET('自動車台帳'!AD125,'自動車台帳'!$AP125,0)</f>
        <v>#N/A</v>
      </c>
      <c r="P124" s="154" t="e">
        <f ca="1">OFFSET('自動車台帳'!AE125,'自動車台帳'!$AP125,0)</f>
        <v>#N/A</v>
      </c>
      <c r="Q124" s="154" t="e">
        <f ca="1">OFFSET('自動車台帳'!AF125,'自動車台帳'!$AP125,0)</f>
        <v>#N/A</v>
      </c>
    </row>
    <row r="125" spans="1:17" ht="13.5">
      <c r="A125" s="148" t="e">
        <f ca="1">OFFSET('自動車台帳'!C126,'自動車台帳'!$AP126,0)</f>
        <v>#N/A</v>
      </c>
      <c r="B125" s="148" t="e">
        <f ca="1">OFFSET('自動車台帳'!D126,'自動車台帳'!$AP126,0)</f>
        <v>#N/A</v>
      </c>
      <c r="C125" s="148" t="e">
        <f ca="1">OFFSET('自動車台帳'!E126,'自動車台帳'!$AP126,0)</f>
        <v>#N/A</v>
      </c>
      <c r="D125" s="148" t="e">
        <f ca="1">OFFSET('自動車台帳'!F126,'自動車台帳'!$AP126,0)</f>
        <v>#N/A</v>
      </c>
      <c r="E125" s="149" t="e">
        <f ca="1">OFFSET('自動車台帳'!G126,'自動車台帳'!$AP126,0)</f>
        <v>#N/A</v>
      </c>
      <c r="F125" s="150" t="e">
        <f ca="1">OFFSET('自動車台帳'!H126,'自動車台帳'!$AP126,0)</f>
        <v>#N/A</v>
      </c>
      <c r="G125" s="148" t="e">
        <f ca="1">OFFSET('自動車台帳'!I126,'自動車台帳'!$AP126,0)</f>
        <v>#N/A</v>
      </c>
      <c r="H125" s="148" t="e">
        <f ca="1">OFFSET('自動車台帳'!J126,'自動車台帳'!$AP126,0)</f>
        <v>#N/A</v>
      </c>
      <c r="I125" s="149" t="e">
        <f ca="1">OFFSET('自動車台帳'!K126,'自動車台帳'!$AP126,0)</f>
        <v>#N/A</v>
      </c>
      <c r="J125" s="151" t="e">
        <f ca="1">OFFSET('自動車台帳'!L126,'自動車台帳'!$AP126,0)</f>
        <v>#N/A</v>
      </c>
      <c r="K125" s="152" t="e">
        <f ca="1">OFFSET('自動車台帳'!M126,'自動車台帳'!$AP126,0)</f>
        <v>#N/A</v>
      </c>
      <c r="L125" s="152" t="e">
        <f ca="1">OFFSET('自動車台帳'!N126,'自動車台帳'!$AP126,0)</f>
        <v>#N/A</v>
      </c>
      <c r="M125" s="148" t="e">
        <f ca="1">OFFSET('自動車台帳'!AB126,'自動車台帳'!$AP126,0)</f>
        <v>#N/A</v>
      </c>
      <c r="N125" s="148" t="e">
        <f ca="1">OFFSET('自動車台帳'!AC126,'自動車台帳'!$AP126,0)</f>
        <v>#N/A</v>
      </c>
      <c r="O125" s="153" t="e">
        <f ca="1">OFFSET('自動車台帳'!AD126,'自動車台帳'!$AP126,0)</f>
        <v>#N/A</v>
      </c>
      <c r="P125" s="154" t="e">
        <f ca="1">OFFSET('自動車台帳'!AE126,'自動車台帳'!$AP126,0)</f>
        <v>#N/A</v>
      </c>
      <c r="Q125" s="154" t="e">
        <f ca="1">OFFSET('自動車台帳'!AF126,'自動車台帳'!$AP126,0)</f>
        <v>#N/A</v>
      </c>
    </row>
    <row r="126" spans="1:17" ht="13.5">
      <c r="A126" s="148" t="e">
        <f ca="1">OFFSET('自動車台帳'!C127,'自動車台帳'!$AP127,0)</f>
        <v>#N/A</v>
      </c>
      <c r="B126" s="148" t="e">
        <f ca="1">OFFSET('自動車台帳'!D127,'自動車台帳'!$AP127,0)</f>
        <v>#N/A</v>
      </c>
      <c r="C126" s="148" t="e">
        <f ca="1">OFFSET('自動車台帳'!E127,'自動車台帳'!$AP127,0)</f>
        <v>#N/A</v>
      </c>
      <c r="D126" s="148" t="e">
        <f ca="1">OFFSET('自動車台帳'!F127,'自動車台帳'!$AP127,0)</f>
        <v>#N/A</v>
      </c>
      <c r="E126" s="149" t="e">
        <f ca="1">OFFSET('自動車台帳'!G127,'自動車台帳'!$AP127,0)</f>
        <v>#N/A</v>
      </c>
      <c r="F126" s="150" t="e">
        <f ca="1">OFFSET('自動車台帳'!H127,'自動車台帳'!$AP127,0)</f>
        <v>#N/A</v>
      </c>
      <c r="G126" s="148" t="e">
        <f ca="1">OFFSET('自動車台帳'!I127,'自動車台帳'!$AP127,0)</f>
        <v>#N/A</v>
      </c>
      <c r="H126" s="148" t="e">
        <f ca="1">OFFSET('自動車台帳'!J127,'自動車台帳'!$AP127,0)</f>
        <v>#N/A</v>
      </c>
      <c r="I126" s="149" t="e">
        <f ca="1">OFFSET('自動車台帳'!K127,'自動車台帳'!$AP127,0)</f>
        <v>#N/A</v>
      </c>
      <c r="J126" s="151" t="e">
        <f ca="1">OFFSET('自動車台帳'!L127,'自動車台帳'!$AP127,0)</f>
        <v>#N/A</v>
      </c>
      <c r="K126" s="152" t="e">
        <f ca="1">OFFSET('自動車台帳'!M127,'自動車台帳'!$AP127,0)</f>
        <v>#N/A</v>
      </c>
      <c r="L126" s="152" t="e">
        <f ca="1">OFFSET('自動車台帳'!N127,'自動車台帳'!$AP127,0)</f>
        <v>#N/A</v>
      </c>
      <c r="M126" s="148" t="e">
        <f ca="1">OFFSET('自動車台帳'!AB127,'自動車台帳'!$AP127,0)</f>
        <v>#N/A</v>
      </c>
      <c r="N126" s="148" t="e">
        <f ca="1">OFFSET('自動車台帳'!AC127,'自動車台帳'!$AP127,0)</f>
        <v>#N/A</v>
      </c>
      <c r="O126" s="153" t="e">
        <f ca="1">OFFSET('自動車台帳'!AD127,'自動車台帳'!$AP127,0)</f>
        <v>#N/A</v>
      </c>
      <c r="P126" s="154" t="e">
        <f ca="1">OFFSET('自動車台帳'!AE127,'自動車台帳'!$AP127,0)</f>
        <v>#N/A</v>
      </c>
      <c r="Q126" s="154" t="e">
        <f ca="1">OFFSET('自動車台帳'!AF127,'自動車台帳'!$AP127,0)</f>
        <v>#N/A</v>
      </c>
    </row>
    <row r="127" spans="1:17" ht="13.5">
      <c r="A127" s="148" t="e">
        <f ca="1">OFFSET('自動車台帳'!C128,'自動車台帳'!$AP128,0)</f>
        <v>#N/A</v>
      </c>
      <c r="B127" s="148" t="e">
        <f ca="1">OFFSET('自動車台帳'!D128,'自動車台帳'!$AP128,0)</f>
        <v>#N/A</v>
      </c>
      <c r="C127" s="148" t="e">
        <f ca="1">OFFSET('自動車台帳'!E128,'自動車台帳'!$AP128,0)</f>
        <v>#N/A</v>
      </c>
      <c r="D127" s="148" t="e">
        <f ca="1">OFFSET('自動車台帳'!F128,'自動車台帳'!$AP128,0)</f>
        <v>#N/A</v>
      </c>
      <c r="E127" s="149" t="e">
        <f ca="1">OFFSET('自動車台帳'!G128,'自動車台帳'!$AP128,0)</f>
        <v>#N/A</v>
      </c>
      <c r="F127" s="150" t="e">
        <f ca="1">OFFSET('自動車台帳'!H128,'自動車台帳'!$AP128,0)</f>
        <v>#N/A</v>
      </c>
      <c r="G127" s="148" t="e">
        <f ca="1">OFFSET('自動車台帳'!I128,'自動車台帳'!$AP128,0)</f>
        <v>#N/A</v>
      </c>
      <c r="H127" s="148" t="e">
        <f ca="1">OFFSET('自動車台帳'!J128,'自動車台帳'!$AP128,0)</f>
        <v>#N/A</v>
      </c>
      <c r="I127" s="149" t="e">
        <f ca="1">OFFSET('自動車台帳'!K128,'自動車台帳'!$AP128,0)</f>
        <v>#N/A</v>
      </c>
      <c r="J127" s="151" t="e">
        <f ca="1">OFFSET('自動車台帳'!L128,'自動車台帳'!$AP128,0)</f>
        <v>#N/A</v>
      </c>
      <c r="K127" s="152" t="e">
        <f ca="1">OFFSET('自動車台帳'!M128,'自動車台帳'!$AP128,0)</f>
        <v>#N/A</v>
      </c>
      <c r="L127" s="152" t="e">
        <f ca="1">OFFSET('自動車台帳'!N128,'自動車台帳'!$AP128,0)</f>
        <v>#N/A</v>
      </c>
      <c r="M127" s="148" t="e">
        <f ca="1">OFFSET('自動車台帳'!AB128,'自動車台帳'!$AP128,0)</f>
        <v>#N/A</v>
      </c>
      <c r="N127" s="148" t="e">
        <f ca="1">OFFSET('自動車台帳'!AC128,'自動車台帳'!$AP128,0)</f>
        <v>#N/A</v>
      </c>
      <c r="O127" s="153" t="e">
        <f ca="1">OFFSET('自動車台帳'!AD128,'自動車台帳'!$AP128,0)</f>
        <v>#N/A</v>
      </c>
      <c r="P127" s="154" t="e">
        <f ca="1">OFFSET('自動車台帳'!AE128,'自動車台帳'!$AP128,0)</f>
        <v>#N/A</v>
      </c>
      <c r="Q127" s="154" t="e">
        <f ca="1">OFFSET('自動車台帳'!AF128,'自動車台帳'!$AP128,0)</f>
        <v>#N/A</v>
      </c>
    </row>
    <row r="128" spans="1:17" ht="13.5">
      <c r="A128" s="148" t="e">
        <f ca="1">OFFSET('自動車台帳'!C129,'自動車台帳'!$AP129,0)</f>
        <v>#N/A</v>
      </c>
      <c r="B128" s="148" t="e">
        <f ca="1">OFFSET('自動車台帳'!D129,'自動車台帳'!$AP129,0)</f>
        <v>#N/A</v>
      </c>
      <c r="C128" s="148" t="e">
        <f ca="1">OFFSET('自動車台帳'!E129,'自動車台帳'!$AP129,0)</f>
        <v>#N/A</v>
      </c>
      <c r="D128" s="148" t="e">
        <f ca="1">OFFSET('自動車台帳'!F129,'自動車台帳'!$AP129,0)</f>
        <v>#N/A</v>
      </c>
      <c r="E128" s="149" t="e">
        <f ca="1">OFFSET('自動車台帳'!G129,'自動車台帳'!$AP129,0)</f>
        <v>#N/A</v>
      </c>
      <c r="F128" s="150" t="e">
        <f ca="1">OFFSET('自動車台帳'!H129,'自動車台帳'!$AP129,0)</f>
        <v>#N/A</v>
      </c>
      <c r="G128" s="148" t="e">
        <f ca="1">OFFSET('自動車台帳'!I129,'自動車台帳'!$AP129,0)</f>
        <v>#N/A</v>
      </c>
      <c r="H128" s="148" t="e">
        <f ca="1">OFFSET('自動車台帳'!J129,'自動車台帳'!$AP129,0)</f>
        <v>#N/A</v>
      </c>
      <c r="I128" s="149" t="e">
        <f ca="1">OFFSET('自動車台帳'!K129,'自動車台帳'!$AP129,0)</f>
        <v>#N/A</v>
      </c>
      <c r="J128" s="151" t="e">
        <f ca="1">OFFSET('自動車台帳'!L129,'自動車台帳'!$AP129,0)</f>
        <v>#N/A</v>
      </c>
      <c r="K128" s="152" t="e">
        <f ca="1">OFFSET('自動車台帳'!M129,'自動車台帳'!$AP129,0)</f>
        <v>#N/A</v>
      </c>
      <c r="L128" s="152" t="e">
        <f ca="1">OFFSET('自動車台帳'!N129,'自動車台帳'!$AP129,0)</f>
        <v>#N/A</v>
      </c>
      <c r="M128" s="148" t="e">
        <f ca="1">OFFSET('自動車台帳'!AB129,'自動車台帳'!$AP129,0)</f>
        <v>#N/A</v>
      </c>
      <c r="N128" s="148" t="e">
        <f ca="1">OFFSET('自動車台帳'!AC129,'自動車台帳'!$AP129,0)</f>
        <v>#N/A</v>
      </c>
      <c r="O128" s="153" t="e">
        <f ca="1">OFFSET('自動車台帳'!AD129,'自動車台帳'!$AP129,0)</f>
        <v>#N/A</v>
      </c>
      <c r="P128" s="154" t="e">
        <f ca="1">OFFSET('自動車台帳'!AE129,'自動車台帳'!$AP129,0)</f>
        <v>#N/A</v>
      </c>
      <c r="Q128" s="154" t="e">
        <f ca="1">OFFSET('自動車台帳'!AF129,'自動車台帳'!$AP129,0)</f>
        <v>#N/A</v>
      </c>
    </row>
    <row r="129" spans="1:17" ht="13.5">
      <c r="A129" s="148" t="e">
        <f ca="1">OFFSET('自動車台帳'!C130,'自動車台帳'!$AP130,0)</f>
        <v>#N/A</v>
      </c>
      <c r="B129" s="148" t="e">
        <f ca="1">OFFSET('自動車台帳'!D130,'自動車台帳'!$AP130,0)</f>
        <v>#N/A</v>
      </c>
      <c r="C129" s="148" t="e">
        <f ca="1">OFFSET('自動車台帳'!E130,'自動車台帳'!$AP130,0)</f>
        <v>#N/A</v>
      </c>
      <c r="D129" s="148" t="e">
        <f ca="1">OFFSET('自動車台帳'!F130,'自動車台帳'!$AP130,0)</f>
        <v>#N/A</v>
      </c>
      <c r="E129" s="149" t="e">
        <f ca="1">OFFSET('自動車台帳'!G130,'自動車台帳'!$AP130,0)</f>
        <v>#N/A</v>
      </c>
      <c r="F129" s="150" t="e">
        <f ca="1">OFFSET('自動車台帳'!H130,'自動車台帳'!$AP130,0)</f>
        <v>#N/A</v>
      </c>
      <c r="G129" s="148" t="e">
        <f ca="1">OFFSET('自動車台帳'!I130,'自動車台帳'!$AP130,0)</f>
        <v>#N/A</v>
      </c>
      <c r="H129" s="148" t="e">
        <f ca="1">OFFSET('自動車台帳'!J130,'自動車台帳'!$AP130,0)</f>
        <v>#N/A</v>
      </c>
      <c r="I129" s="149" t="e">
        <f ca="1">OFFSET('自動車台帳'!K130,'自動車台帳'!$AP130,0)</f>
        <v>#N/A</v>
      </c>
      <c r="J129" s="151" t="e">
        <f ca="1">OFFSET('自動車台帳'!L130,'自動車台帳'!$AP130,0)</f>
        <v>#N/A</v>
      </c>
      <c r="K129" s="152" t="e">
        <f ca="1">OFFSET('自動車台帳'!M130,'自動車台帳'!$AP130,0)</f>
        <v>#N/A</v>
      </c>
      <c r="L129" s="152" t="e">
        <f ca="1">OFFSET('自動車台帳'!N130,'自動車台帳'!$AP130,0)</f>
        <v>#N/A</v>
      </c>
      <c r="M129" s="148" t="e">
        <f ca="1">OFFSET('自動車台帳'!AB130,'自動車台帳'!$AP130,0)</f>
        <v>#N/A</v>
      </c>
      <c r="N129" s="148" t="e">
        <f ca="1">OFFSET('自動車台帳'!AC130,'自動車台帳'!$AP130,0)</f>
        <v>#N/A</v>
      </c>
      <c r="O129" s="153" t="e">
        <f ca="1">OFFSET('自動車台帳'!AD130,'自動車台帳'!$AP130,0)</f>
        <v>#N/A</v>
      </c>
      <c r="P129" s="154" t="e">
        <f ca="1">OFFSET('自動車台帳'!AE130,'自動車台帳'!$AP130,0)</f>
        <v>#N/A</v>
      </c>
      <c r="Q129" s="154" t="e">
        <f ca="1">OFFSET('自動車台帳'!AF130,'自動車台帳'!$AP130,0)</f>
        <v>#N/A</v>
      </c>
    </row>
    <row r="130" spans="1:17" ht="13.5">
      <c r="A130" s="148" t="e">
        <f ca="1">OFFSET('自動車台帳'!C131,'自動車台帳'!$AP131,0)</f>
        <v>#N/A</v>
      </c>
      <c r="B130" s="148" t="e">
        <f ca="1">OFFSET('自動車台帳'!D131,'自動車台帳'!$AP131,0)</f>
        <v>#N/A</v>
      </c>
      <c r="C130" s="148" t="e">
        <f ca="1">OFFSET('自動車台帳'!E131,'自動車台帳'!$AP131,0)</f>
        <v>#N/A</v>
      </c>
      <c r="D130" s="148" t="e">
        <f ca="1">OFFSET('自動車台帳'!F131,'自動車台帳'!$AP131,0)</f>
        <v>#N/A</v>
      </c>
      <c r="E130" s="149" t="e">
        <f ca="1">OFFSET('自動車台帳'!G131,'自動車台帳'!$AP131,0)</f>
        <v>#N/A</v>
      </c>
      <c r="F130" s="150" t="e">
        <f ca="1">OFFSET('自動車台帳'!H131,'自動車台帳'!$AP131,0)</f>
        <v>#N/A</v>
      </c>
      <c r="G130" s="148" t="e">
        <f ca="1">OFFSET('自動車台帳'!I131,'自動車台帳'!$AP131,0)</f>
        <v>#N/A</v>
      </c>
      <c r="H130" s="148" t="e">
        <f ca="1">OFFSET('自動車台帳'!J131,'自動車台帳'!$AP131,0)</f>
        <v>#N/A</v>
      </c>
      <c r="I130" s="149" t="e">
        <f ca="1">OFFSET('自動車台帳'!K131,'自動車台帳'!$AP131,0)</f>
        <v>#N/A</v>
      </c>
      <c r="J130" s="151" t="e">
        <f ca="1">OFFSET('自動車台帳'!L131,'自動車台帳'!$AP131,0)</f>
        <v>#N/A</v>
      </c>
      <c r="K130" s="152" t="e">
        <f ca="1">OFFSET('自動車台帳'!M131,'自動車台帳'!$AP131,0)</f>
        <v>#N/A</v>
      </c>
      <c r="L130" s="152" t="e">
        <f ca="1">OFFSET('自動車台帳'!N131,'自動車台帳'!$AP131,0)</f>
        <v>#N/A</v>
      </c>
      <c r="M130" s="148" t="e">
        <f ca="1">OFFSET('自動車台帳'!AB131,'自動車台帳'!$AP131,0)</f>
        <v>#N/A</v>
      </c>
      <c r="N130" s="148" t="e">
        <f ca="1">OFFSET('自動車台帳'!AC131,'自動車台帳'!$AP131,0)</f>
        <v>#N/A</v>
      </c>
      <c r="O130" s="153" t="e">
        <f ca="1">OFFSET('自動車台帳'!AD131,'自動車台帳'!$AP131,0)</f>
        <v>#N/A</v>
      </c>
      <c r="P130" s="154" t="e">
        <f ca="1">OFFSET('自動車台帳'!AE131,'自動車台帳'!$AP131,0)</f>
        <v>#N/A</v>
      </c>
      <c r="Q130" s="154" t="e">
        <f ca="1">OFFSET('自動車台帳'!AF131,'自動車台帳'!$AP131,0)</f>
        <v>#N/A</v>
      </c>
    </row>
    <row r="131" spans="1:17" ht="13.5">
      <c r="A131" s="148" t="e">
        <f ca="1">OFFSET('自動車台帳'!C132,'自動車台帳'!$AP132,0)</f>
        <v>#N/A</v>
      </c>
      <c r="B131" s="148" t="e">
        <f ca="1">OFFSET('自動車台帳'!D132,'自動車台帳'!$AP132,0)</f>
        <v>#N/A</v>
      </c>
      <c r="C131" s="148" t="e">
        <f ca="1">OFFSET('自動車台帳'!E132,'自動車台帳'!$AP132,0)</f>
        <v>#N/A</v>
      </c>
      <c r="D131" s="148" t="e">
        <f ca="1">OFFSET('自動車台帳'!F132,'自動車台帳'!$AP132,0)</f>
        <v>#N/A</v>
      </c>
      <c r="E131" s="149" t="e">
        <f ca="1">OFFSET('自動車台帳'!G132,'自動車台帳'!$AP132,0)</f>
        <v>#N/A</v>
      </c>
      <c r="F131" s="150" t="e">
        <f ca="1">OFFSET('自動車台帳'!H132,'自動車台帳'!$AP132,0)</f>
        <v>#N/A</v>
      </c>
      <c r="G131" s="148" t="e">
        <f ca="1">OFFSET('自動車台帳'!I132,'自動車台帳'!$AP132,0)</f>
        <v>#N/A</v>
      </c>
      <c r="H131" s="148" t="e">
        <f ca="1">OFFSET('自動車台帳'!J132,'自動車台帳'!$AP132,0)</f>
        <v>#N/A</v>
      </c>
      <c r="I131" s="149" t="e">
        <f ca="1">OFFSET('自動車台帳'!K132,'自動車台帳'!$AP132,0)</f>
        <v>#N/A</v>
      </c>
      <c r="J131" s="151" t="e">
        <f ca="1">OFFSET('自動車台帳'!L132,'自動車台帳'!$AP132,0)</f>
        <v>#N/A</v>
      </c>
      <c r="K131" s="152" t="e">
        <f ca="1">OFFSET('自動車台帳'!M132,'自動車台帳'!$AP132,0)</f>
        <v>#N/A</v>
      </c>
      <c r="L131" s="152" t="e">
        <f ca="1">OFFSET('自動車台帳'!N132,'自動車台帳'!$AP132,0)</f>
        <v>#N/A</v>
      </c>
      <c r="M131" s="148" t="e">
        <f ca="1">OFFSET('自動車台帳'!AB132,'自動車台帳'!$AP132,0)</f>
        <v>#N/A</v>
      </c>
      <c r="N131" s="148" t="e">
        <f ca="1">OFFSET('自動車台帳'!AC132,'自動車台帳'!$AP132,0)</f>
        <v>#N/A</v>
      </c>
      <c r="O131" s="153" t="e">
        <f ca="1">OFFSET('自動車台帳'!AD132,'自動車台帳'!$AP132,0)</f>
        <v>#N/A</v>
      </c>
      <c r="P131" s="154" t="e">
        <f ca="1">OFFSET('自動車台帳'!AE132,'自動車台帳'!$AP132,0)</f>
        <v>#N/A</v>
      </c>
      <c r="Q131" s="154" t="e">
        <f ca="1">OFFSET('自動車台帳'!AF132,'自動車台帳'!$AP132,0)</f>
        <v>#N/A</v>
      </c>
    </row>
    <row r="132" spans="1:17" ht="13.5">
      <c r="A132" s="148" t="e">
        <f ca="1">OFFSET('自動車台帳'!C133,'自動車台帳'!$AP133,0)</f>
        <v>#N/A</v>
      </c>
      <c r="B132" s="148" t="e">
        <f ca="1">OFFSET('自動車台帳'!D133,'自動車台帳'!$AP133,0)</f>
        <v>#N/A</v>
      </c>
      <c r="C132" s="148" t="e">
        <f ca="1">OFFSET('自動車台帳'!E133,'自動車台帳'!$AP133,0)</f>
        <v>#N/A</v>
      </c>
      <c r="D132" s="148" t="e">
        <f ca="1">OFFSET('自動車台帳'!F133,'自動車台帳'!$AP133,0)</f>
        <v>#N/A</v>
      </c>
      <c r="E132" s="149" t="e">
        <f ca="1">OFFSET('自動車台帳'!G133,'自動車台帳'!$AP133,0)</f>
        <v>#N/A</v>
      </c>
      <c r="F132" s="150" t="e">
        <f ca="1">OFFSET('自動車台帳'!H133,'自動車台帳'!$AP133,0)</f>
        <v>#N/A</v>
      </c>
      <c r="G132" s="148" t="e">
        <f ca="1">OFFSET('自動車台帳'!I133,'自動車台帳'!$AP133,0)</f>
        <v>#N/A</v>
      </c>
      <c r="H132" s="148" t="e">
        <f ca="1">OFFSET('自動車台帳'!J133,'自動車台帳'!$AP133,0)</f>
        <v>#N/A</v>
      </c>
      <c r="I132" s="149" t="e">
        <f ca="1">OFFSET('自動車台帳'!K133,'自動車台帳'!$AP133,0)</f>
        <v>#N/A</v>
      </c>
      <c r="J132" s="151" t="e">
        <f ca="1">OFFSET('自動車台帳'!L133,'自動車台帳'!$AP133,0)</f>
        <v>#N/A</v>
      </c>
      <c r="K132" s="152" t="e">
        <f ca="1">OFFSET('自動車台帳'!M133,'自動車台帳'!$AP133,0)</f>
        <v>#N/A</v>
      </c>
      <c r="L132" s="152" t="e">
        <f ca="1">OFFSET('自動車台帳'!N133,'自動車台帳'!$AP133,0)</f>
        <v>#N/A</v>
      </c>
      <c r="M132" s="148" t="e">
        <f ca="1">OFFSET('自動車台帳'!AB133,'自動車台帳'!$AP133,0)</f>
        <v>#N/A</v>
      </c>
      <c r="N132" s="148" t="e">
        <f ca="1">OFFSET('自動車台帳'!AC133,'自動車台帳'!$AP133,0)</f>
        <v>#N/A</v>
      </c>
      <c r="O132" s="153" t="e">
        <f ca="1">OFFSET('自動車台帳'!AD133,'自動車台帳'!$AP133,0)</f>
        <v>#N/A</v>
      </c>
      <c r="P132" s="154" t="e">
        <f ca="1">OFFSET('自動車台帳'!AE133,'自動車台帳'!$AP133,0)</f>
        <v>#N/A</v>
      </c>
      <c r="Q132" s="154" t="e">
        <f ca="1">OFFSET('自動車台帳'!AF133,'自動車台帳'!$AP133,0)</f>
        <v>#N/A</v>
      </c>
    </row>
    <row r="133" spans="1:17" ht="13.5">
      <c r="A133" s="148" t="e">
        <f ca="1">OFFSET('自動車台帳'!C134,'自動車台帳'!$AP134,0)</f>
        <v>#N/A</v>
      </c>
      <c r="B133" s="148" t="e">
        <f ca="1">OFFSET('自動車台帳'!D134,'自動車台帳'!$AP134,0)</f>
        <v>#N/A</v>
      </c>
      <c r="C133" s="148" t="e">
        <f ca="1">OFFSET('自動車台帳'!E134,'自動車台帳'!$AP134,0)</f>
        <v>#N/A</v>
      </c>
      <c r="D133" s="148" t="e">
        <f ca="1">OFFSET('自動車台帳'!F134,'自動車台帳'!$AP134,0)</f>
        <v>#N/A</v>
      </c>
      <c r="E133" s="149" t="e">
        <f ca="1">OFFSET('自動車台帳'!G134,'自動車台帳'!$AP134,0)</f>
        <v>#N/A</v>
      </c>
      <c r="F133" s="150" t="e">
        <f ca="1">OFFSET('自動車台帳'!H134,'自動車台帳'!$AP134,0)</f>
        <v>#N/A</v>
      </c>
      <c r="G133" s="148" t="e">
        <f ca="1">OFFSET('自動車台帳'!I134,'自動車台帳'!$AP134,0)</f>
        <v>#N/A</v>
      </c>
      <c r="H133" s="148" t="e">
        <f ca="1">OFFSET('自動車台帳'!J134,'自動車台帳'!$AP134,0)</f>
        <v>#N/A</v>
      </c>
      <c r="I133" s="149" t="e">
        <f ca="1">OFFSET('自動車台帳'!K134,'自動車台帳'!$AP134,0)</f>
        <v>#N/A</v>
      </c>
      <c r="J133" s="151" t="e">
        <f ca="1">OFFSET('自動車台帳'!L134,'自動車台帳'!$AP134,0)</f>
        <v>#N/A</v>
      </c>
      <c r="K133" s="152" t="e">
        <f ca="1">OFFSET('自動車台帳'!M134,'自動車台帳'!$AP134,0)</f>
        <v>#N/A</v>
      </c>
      <c r="L133" s="152" t="e">
        <f ca="1">OFFSET('自動車台帳'!N134,'自動車台帳'!$AP134,0)</f>
        <v>#N/A</v>
      </c>
      <c r="M133" s="148" t="e">
        <f ca="1">OFFSET('自動車台帳'!AB134,'自動車台帳'!$AP134,0)</f>
        <v>#N/A</v>
      </c>
      <c r="N133" s="148" t="e">
        <f ca="1">OFFSET('自動車台帳'!AC134,'自動車台帳'!$AP134,0)</f>
        <v>#N/A</v>
      </c>
      <c r="O133" s="153" t="e">
        <f ca="1">OFFSET('自動車台帳'!AD134,'自動車台帳'!$AP134,0)</f>
        <v>#N/A</v>
      </c>
      <c r="P133" s="154" t="e">
        <f ca="1">OFFSET('自動車台帳'!AE134,'自動車台帳'!$AP134,0)</f>
        <v>#N/A</v>
      </c>
      <c r="Q133" s="154" t="e">
        <f ca="1">OFFSET('自動車台帳'!AF134,'自動車台帳'!$AP134,0)</f>
        <v>#N/A</v>
      </c>
    </row>
    <row r="134" spans="1:17" ht="13.5">
      <c r="A134" s="148" t="e">
        <f ca="1">OFFSET('自動車台帳'!C135,'自動車台帳'!$AP135,0)</f>
        <v>#N/A</v>
      </c>
      <c r="B134" s="148" t="e">
        <f ca="1">OFFSET('自動車台帳'!D135,'自動車台帳'!$AP135,0)</f>
        <v>#N/A</v>
      </c>
      <c r="C134" s="148" t="e">
        <f ca="1">OFFSET('自動車台帳'!E135,'自動車台帳'!$AP135,0)</f>
        <v>#N/A</v>
      </c>
      <c r="D134" s="148" t="e">
        <f ca="1">OFFSET('自動車台帳'!F135,'自動車台帳'!$AP135,0)</f>
        <v>#N/A</v>
      </c>
      <c r="E134" s="149" t="e">
        <f ca="1">OFFSET('自動車台帳'!G135,'自動車台帳'!$AP135,0)</f>
        <v>#N/A</v>
      </c>
      <c r="F134" s="150" t="e">
        <f ca="1">OFFSET('自動車台帳'!H135,'自動車台帳'!$AP135,0)</f>
        <v>#N/A</v>
      </c>
      <c r="G134" s="148" t="e">
        <f ca="1">OFFSET('自動車台帳'!I135,'自動車台帳'!$AP135,0)</f>
        <v>#N/A</v>
      </c>
      <c r="H134" s="148" t="e">
        <f ca="1">OFFSET('自動車台帳'!J135,'自動車台帳'!$AP135,0)</f>
        <v>#N/A</v>
      </c>
      <c r="I134" s="149" t="e">
        <f ca="1">OFFSET('自動車台帳'!K135,'自動車台帳'!$AP135,0)</f>
        <v>#N/A</v>
      </c>
      <c r="J134" s="151" t="e">
        <f ca="1">OFFSET('自動車台帳'!L135,'自動車台帳'!$AP135,0)</f>
        <v>#N/A</v>
      </c>
      <c r="K134" s="152" t="e">
        <f ca="1">OFFSET('自動車台帳'!M135,'自動車台帳'!$AP135,0)</f>
        <v>#N/A</v>
      </c>
      <c r="L134" s="152" t="e">
        <f ca="1">OFFSET('自動車台帳'!N135,'自動車台帳'!$AP135,0)</f>
        <v>#N/A</v>
      </c>
      <c r="M134" s="148" t="e">
        <f ca="1">OFFSET('自動車台帳'!AB135,'自動車台帳'!$AP135,0)</f>
        <v>#N/A</v>
      </c>
      <c r="N134" s="148" t="e">
        <f ca="1">OFFSET('自動車台帳'!AC135,'自動車台帳'!$AP135,0)</f>
        <v>#N/A</v>
      </c>
      <c r="O134" s="153" t="e">
        <f ca="1">OFFSET('自動車台帳'!AD135,'自動車台帳'!$AP135,0)</f>
        <v>#N/A</v>
      </c>
      <c r="P134" s="154" t="e">
        <f ca="1">OFFSET('自動車台帳'!AE135,'自動車台帳'!$AP135,0)</f>
        <v>#N/A</v>
      </c>
      <c r="Q134" s="154" t="e">
        <f ca="1">OFFSET('自動車台帳'!AF135,'自動車台帳'!$AP135,0)</f>
        <v>#N/A</v>
      </c>
    </row>
    <row r="135" spans="1:17" ht="13.5">
      <c r="A135" s="148" t="e">
        <f ca="1">OFFSET('自動車台帳'!C136,'自動車台帳'!$AP136,0)</f>
        <v>#N/A</v>
      </c>
      <c r="B135" s="148" t="e">
        <f ca="1">OFFSET('自動車台帳'!D136,'自動車台帳'!$AP136,0)</f>
        <v>#N/A</v>
      </c>
      <c r="C135" s="148" t="e">
        <f ca="1">OFFSET('自動車台帳'!E136,'自動車台帳'!$AP136,0)</f>
        <v>#N/A</v>
      </c>
      <c r="D135" s="148" t="e">
        <f ca="1">OFFSET('自動車台帳'!F136,'自動車台帳'!$AP136,0)</f>
        <v>#N/A</v>
      </c>
      <c r="E135" s="149" t="e">
        <f ca="1">OFFSET('自動車台帳'!G136,'自動車台帳'!$AP136,0)</f>
        <v>#N/A</v>
      </c>
      <c r="F135" s="150" t="e">
        <f ca="1">OFFSET('自動車台帳'!H136,'自動車台帳'!$AP136,0)</f>
        <v>#N/A</v>
      </c>
      <c r="G135" s="148" t="e">
        <f ca="1">OFFSET('自動車台帳'!I136,'自動車台帳'!$AP136,0)</f>
        <v>#N/A</v>
      </c>
      <c r="H135" s="148" t="e">
        <f ca="1">OFFSET('自動車台帳'!J136,'自動車台帳'!$AP136,0)</f>
        <v>#N/A</v>
      </c>
      <c r="I135" s="149" t="e">
        <f ca="1">OFFSET('自動車台帳'!K136,'自動車台帳'!$AP136,0)</f>
        <v>#N/A</v>
      </c>
      <c r="J135" s="151" t="e">
        <f ca="1">OFFSET('自動車台帳'!L136,'自動車台帳'!$AP136,0)</f>
        <v>#N/A</v>
      </c>
      <c r="K135" s="152" t="e">
        <f ca="1">OFFSET('自動車台帳'!M136,'自動車台帳'!$AP136,0)</f>
        <v>#N/A</v>
      </c>
      <c r="L135" s="152" t="e">
        <f ca="1">OFFSET('自動車台帳'!N136,'自動車台帳'!$AP136,0)</f>
        <v>#N/A</v>
      </c>
      <c r="M135" s="148" t="e">
        <f ca="1">OFFSET('自動車台帳'!AB136,'自動車台帳'!$AP136,0)</f>
        <v>#N/A</v>
      </c>
      <c r="N135" s="148" t="e">
        <f ca="1">OFFSET('自動車台帳'!AC136,'自動車台帳'!$AP136,0)</f>
        <v>#N/A</v>
      </c>
      <c r="O135" s="153" t="e">
        <f ca="1">OFFSET('自動車台帳'!AD136,'自動車台帳'!$AP136,0)</f>
        <v>#N/A</v>
      </c>
      <c r="P135" s="154" t="e">
        <f ca="1">OFFSET('自動車台帳'!AE136,'自動車台帳'!$AP136,0)</f>
        <v>#N/A</v>
      </c>
      <c r="Q135" s="154" t="e">
        <f ca="1">OFFSET('自動車台帳'!AF136,'自動車台帳'!$AP136,0)</f>
        <v>#N/A</v>
      </c>
    </row>
    <row r="136" spans="1:17" ht="13.5">
      <c r="A136" s="148" t="e">
        <f ca="1">OFFSET('自動車台帳'!C137,'自動車台帳'!$AP137,0)</f>
        <v>#N/A</v>
      </c>
      <c r="B136" s="148" t="e">
        <f ca="1">OFFSET('自動車台帳'!D137,'自動車台帳'!$AP137,0)</f>
        <v>#N/A</v>
      </c>
      <c r="C136" s="148" t="e">
        <f ca="1">OFFSET('自動車台帳'!E137,'自動車台帳'!$AP137,0)</f>
        <v>#N/A</v>
      </c>
      <c r="D136" s="148" t="e">
        <f ca="1">OFFSET('自動車台帳'!F137,'自動車台帳'!$AP137,0)</f>
        <v>#N/A</v>
      </c>
      <c r="E136" s="149" t="e">
        <f ca="1">OFFSET('自動車台帳'!G137,'自動車台帳'!$AP137,0)</f>
        <v>#N/A</v>
      </c>
      <c r="F136" s="150" t="e">
        <f ca="1">OFFSET('自動車台帳'!H137,'自動車台帳'!$AP137,0)</f>
        <v>#N/A</v>
      </c>
      <c r="G136" s="148" t="e">
        <f ca="1">OFFSET('自動車台帳'!I137,'自動車台帳'!$AP137,0)</f>
        <v>#N/A</v>
      </c>
      <c r="H136" s="148" t="e">
        <f ca="1">OFFSET('自動車台帳'!J137,'自動車台帳'!$AP137,0)</f>
        <v>#N/A</v>
      </c>
      <c r="I136" s="149" t="e">
        <f ca="1">OFFSET('自動車台帳'!K137,'自動車台帳'!$AP137,0)</f>
        <v>#N/A</v>
      </c>
      <c r="J136" s="151" t="e">
        <f ca="1">OFFSET('自動車台帳'!L137,'自動車台帳'!$AP137,0)</f>
        <v>#N/A</v>
      </c>
      <c r="K136" s="152" t="e">
        <f ca="1">OFFSET('自動車台帳'!M137,'自動車台帳'!$AP137,0)</f>
        <v>#N/A</v>
      </c>
      <c r="L136" s="152" t="e">
        <f ca="1">OFFSET('自動車台帳'!N137,'自動車台帳'!$AP137,0)</f>
        <v>#N/A</v>
      </c>
      <c r="M136" s="148" t="e">
        <f ca="1">OFFSET('自動車台帳'!AB137,'自動車台帳'!$AP137,0)</f>
        <v>#N/A</v>
      </c>
      <c r="N136" s="148" t="e">
        <f ca="1">OFFSET('自動車台帳'!AC137,'自動車台帳'!$AP137,0)</f>
        <v>#N/A</v>
      </c>
      <c r="O136" s="153" t="e">
        <f ca="1">OFFSET('自動車台帳'!AD137,'自動車台帳'!$AP137,0)</f>
        <v>#N/A</v>
      </c>
      <c r="P136" s="154" t="e">
        <f ca="1">OFFSET('自動車台帳'!AE137,'自動車台帳'!$AP137,0)</f>
        <v>#N/A</v>
      </c>
      <c r="Q136" s="154" t="e">
        <f ca="1">OFFSET('自動車台帳'!AF137,'自動車台帳'!$AP137,0)</f>
        <v>#N/A</v>
      </c>
    </row>
    <row r="137" spans="1:17" ht="13.5">
      <c r="A137" s="148" t="e">
        <f ca="1">OFFSET('自動車台帳'!C138,'自動車台帳'!$AP138,0)</f>
        <v>#N/A</v>
      </c>
      <c r="B137" s="148" t="e">
        <f ca="1">OFFSET('自動車台帳'!D138,'自動車台帳'!$AP138,0)</f>
        <v>#N/A</v>
      </c>
      <c r="C137" s="148" t="e">
        <f ca="1">OFFSET('自動車台帳'!E138,'自動車台帳'!$AP138,0)</f>
        <v>#N/A</v>
      </c>
      <c r="D137" s="148" t="e">
        <f ca="1">OFFSET('自動車台帳'!F138,'自動車台帳'!$AP138,0)</f>
        <v>#N/A</v>
      </c>
      <c r="E137" s="149" t="e">
        <f ca="1">OFFSET('自動車台帳'!G138,'自動車台帳'!$AP138,0)</f>
        <v>#N/A</v>
      </c>
      <c r="F137" s="150" t="e">
        <f ca="1">OFFSET('自動車台帳'!H138,'自動車台帳'!$AP138,0)</f>
        <v>#N/A</v>
      </c>
      <c r="G137" s="148" t="e">
        <f ca="1">OFFSET('自動車台帳'!I138,'自動車台帳'!$AP138,0)</f>
        <v>#N/A</v>
      </c>
      <c r="H137" s="148" t="e">
        <f ca="1">OFFSET('自動車台帳'!J138,'自動車台帳'!$AP138,0)</f>
        <v>#N/A</v>
      </c>
      <c r="I137" s="149" t="e">
        <f ca="1">OFFSET('自動車台帳'!K138,'自動車台帳'!$AP138,0)</f>
        <v>#N/A</v>
      </c>
      <c r="J137" s="151" t="e">
        <f ca="1">OFFSET('自動車台帳'!L138,'自動車台帳'!$AP138,0)</f>
        <v>#N/A</v>
      </c>
      <c r="K137" s="152" t="e">
        <f ca="1">OFFSET('自動車台帳'!M138,'自動車台帳'!$AP138,0)</f>
        <v>#N/A</v>
      </c>
      <c r="L137" s="152" t="e">
        <f ca="1">OFFSET('自動車台帳'!N138,'自動車台帳'!$AP138,0)</f>
        <v>#N/A</v>
      </c>
      <c r="M137" s="148" t="e">
        <f ca="1">OFFSET('自動車台帳'!AB138,'自動車台帳'!$AP138,0)</f>
        <v>#N/A</v>
      </c>
      <c r="N137" s="148" t="e">
        <f ca="1">OFFSET('自動車台帳'!AC138,'自動車台帳'!$AP138,0)</f>
        <v>#N/A</v>
      </c>
      <c r="O137" s="153" t="e">
        <f ca="1">OFFSET('自動車台帳'!AD138,'自動車台帳'!$AP138,0)</f>
        <v>#N/A</v>
      </c>
      <c r="P137" s="154" t="e">
        <f ca="1">OFFSET('自動車台帳'!AE138,'自動車台帳'!$AP138,0)</f>
        <v>#N/A</v>
      </c>
      <c r="Q137" s="154" t="e">
        <f ca="1">OFFSET('自動車台帳'!AF138,'自動車台帳'!$AP138,0)</f>
        <v>#N/A</v>
      </c>
    </row>
    <row r="138" spans="1:17" ht="13.5">
      <c r="A138" s="148" t="e">
        <f ca="1">OFFSET('自動車台帳'!C139,'自動車台帳'!$AP139,0)</f>
        <v>#N/A</v>
      </c>
      <c r="B138" s="148" t="e">
        <f ca="1">OFFSET('自動車台帳'!D139,'自動車台帳'!$AP139,0)</f>
        <v>#N/A</v>
      </c>
      <c r="C138" s="148" t="e">
        <f ca="1">OFFSET('自動車台帳'!E139,'自動車台帳'!$AP139,0)</f>
        <v>#N/A</v>
      </c>
      <c r="D138" s="148" t="e">
        <f ca="1">OFFSET('自動車台帳'!F139,'自動車台帳'!$AP139,0)</f>
        <v>#N/A</v>
      </c>
      <c r="E138" s="149" t="e">
        <f ca="1">OFFSET('自動車台帳'!G139,'自動車台帳'!$AP139,0)</f>
        <v>#N/A</v>
      </c>
      <c r="F138" s="150" t="e">
        <f ca="1">OFFSET('自動車台帳'!H139,'自動車台帳'!$AP139,0)</f>
        <v>#N/A</v>
      </c>
      <c r="G138" s="148" t="e">
        <f ca="1">OFFSET('自動車台帳'!I139,'自動車台帳'!$AP139,0)</f>
        <v>#N/A</v>
      </c>
      <c r="H138" s="148" t="e">
        <f ca="1">OFFSET('自動車台帳'!J139,'自動車台帳'!$AP139,0)</f>
        <v>#N/A</v>
      </c>
      <c r="I138" s="149" t="e">
        <f ca="1">OFFSET('自動車台帳'!K139,'自動車台帳'!$AP139,0)</f>
        <v>#N/A</v>
      </c>
      <c r="J138" s="151" t="e">
        <f ca="1">OFFSET('自動車台帳'!L139,'自動車台帳'!$AP139,0)</f>
        <v>#N/A</v>
      </c>
      <c r="K138" s="152" t="e">
        <f ca="1">OFFSET('自動車台帳'!M139,'自動車台帳'!$AP139,0)</f>
        <v>#N/A</v>
      </c>
      <c r="L138" s="152" t="e">
        <f ca="1">OFFSET('自動車台帳'!N139,'自動車台帳'!$AP139,0)</f>
        <v>#N/A</v>
      </c>
      <c r="M138" s="148" t="e">
        <f ca="1">OFFSET('自動車台帳'!AB139,'自動車台帳'!$AP139,0)</f>
        <v>#N/A</v>
      </c>
      <c r="N138" s="148" t="e">
        <f ca="1">OFFSET('自動車台帳'!AC139,'自動車台帳'!$AP139,0)</f>
        <v>#N/A</v>
      </c>
      <c r="O138" s="153" t="e">
        <f ca="1">OFFSET('自動車台帳'!AD139,'自動車台帳'!$AP139,0)</f>
        <v>#N/A</v>
      </c>
      <c r="P138" s="154" t="e">
        <f ca="1">OFFSET('自動車台帳'!AE139,'自動車台帳'!$AP139,0)</f>
        <v>#N/A</v>
      </c>
      <c r="Q138" s="154" t="e">
        <f ca="1">OFFSET('自動車台帳'!AF139,'自動車台帳'!$AP139,0)</f>
        <v>#N/A</v>
      </c>
    </row>
    <row r="139" spans="1:17" ht="13.5">
      <c r="A139" s="148" t="e">
        <f ca="1">OFFSET('自動車台帳'!C140,'自動車台帳'!$AP140,0)</f>
        <v>#N/A</v>
      </c>
      <c r="B139" s="148" t="e">
        <f ca="1">OFFSET('自動車台帳'!D140,'自動車台帳'!$AP140,0)</f>
        <v>#N/A</v>
      </c>
      <c r="C139" s="148" t="e">
        <f ca="1">OFFSET('自動車台帳'!E140,'自動車台帳'!$AP140,0)</f>
        <v>#N/A</v>
      </c>
      <c r="D139" s="148" t="e">
        <f ca="1">OFFSET('自動車台帳'!F140,'自動車台帳'!$AP140,0)</f>
        <v>#N/A</v>
      </c>
      <c r="E139" s="149" t="e">
        <f ca="1">OFFSET('自動車台帳'!G140,'自動車台帳'!$AP140,0)</f>
        <v>#N/A</v>
      </c>
      <c r="F139" s="150" t="e">
        <f ca="1">OFFSET('自動車台帳'!H140,'自動車台帳'!$AP140,0)</f>
        <v>#N/A</v>
      </c>
      <c r="G139" s="148" t="e">
        <f ca="1">OFFSET('自動車台帳'!I140,'自動車台帳'!$AP140,0)</f>
        <v>#N/A</v>
      </c>
      <c r="H139" s="148" t="e">
        <f ca="1">OFFSET('自動車台帳'!J140,'自動車台帳'!$AP140,0)</f>
        <v>#N/A</v>
      </c>
      <c r="I139" s="149" t="e">
        <f ca="1">OFFSET('自動車台帳'!K140,'自動車台帳'!$AP140,0)</f>
        <v>#N/A</v>
      </c>
      <c r="J139" s="151" t="e">
        <f ca="1">OFFSET('自動車台帳'!L140,'自動車台帳'!$AP140,0)</f>
        <v>#N/A</v>
      </c>
      <c r="K139" s="152" t="e">
        <f ca="1">OFFSET('自動車台帳'!M140,'自動車台帳'!$AP140,0)</f>
        <v>#N/A</v>
      </c>
      <c r="L139" s="152" t="e">
        <f ca="1">OFFSET('自動車台帳'!N140,'自動車台帳'!$AP140,0)</f>
        <v>#N/A</v>
      </c>
      <c r="M139" s="148" t="e">
        <f ca="1">OFFSET('自動車台帳'!AB140,'自動車台帳'!$AP140,0)</f>
        <v>#N/A</v>
      </c>
      <c r="N139" s="148" t="e">
        <f ca="1">OFFSET('自動車台帳'!AC140,'自動車台帳'!$AP140,0)</f>
        <v>#N/A</v>
      </c>
      <c r="O139" s="153" t="e">
        <f ca="1">OFFSET('自動車台帳'!AD140,'自動車台帳'!$AP140,0)</f>
        <v>#N/A</v>
      </c>
      <c r="P139" s="154" t="e">
        <f ca="1">OFFSET('自動車台帳'!AE140,'自動車台帳'!$AP140,0)</f>
        <v>#N/A</v>
      </c>
      <c r="Q139" s="154" t="e">
        <f ca="1">OFFSET('自動車台帳'!AF140,'自動車台帳'!$AP140,0)</f>
        <v>#N/A</v>
      </c>
    </row>
    <row r="140" spans="1:17" ht="13.5">
      <c r="A140" s="148" t="e">
        <f ca="1">OFFSET('自動車台帳'!C141,'自動車台帳'!$AP141,0)</f>
        <v>#N/A</v>
      </c>
      <c r="B140" s="148" t="e">
        <f ca="1">OFFSET('自動車台帳'!D141,'自動車台帳'!$AP141,0)</f>
        <v>#N/A</v>
      </c>
      <c r="C140" s="148" t="e">
        <f ca="1">OFFSET('自動車台帳'!E141,'自動車台帳'!$AP141,0)</f>
        <v>#N/A</v>
      </c>
      <c r="D140" s="148" t="e">
        <f ca="1">OFFSET('自動車台帳'!F141,'自動車台帳'!$AP141,0)</f>
        <v>#N/A</v>
      </c>
      <c r="E140" s="149" t="e">
        <f ca="1">OFFSET('自動車台帳'!G141,'自動車台帳'!$AP141,0)</f>
        <v>#N/A</v>
      </c>
      <c r="F140" s="150" t="e">
        <f ca="1">OFFSET('自動車台帳'!H141,'自動車台帳'!$AP141,0)</f>
        <v>#N/A</v>
      </c>
      <c r="G140" s="148" t="e">
        <f ca="1">OFFSET('自動車台帳'!I141,'自動車台帳'!$AP141,0)</f>
        <v>#N/A</v>
      </c>
      <c r="H140" s="148" t="e">
        <f ca="1">OFFSET('自動車台帳'!J141,'自動車台帳'!$AP141,0)</f>
        <v>#N/A</v>
      </c>
      <c r="I140" s="149" t="e">
        <f ca="1">OFFSET('自動車台帳'!K141,'自動車台帳'!$AP141,0)</f>
        <v>#N/A</v>
      </c>
      <c r="J140" s="151" t="e">
        <f ca="1">OFFSET('自動車台帳'!L141,'自動車台帳'!$AP141,0)</f>
        <v>#N/A</v>
      </c>
      <c r="K140" s="152" t="e">
        <f ca="1">OFFSET('自動車台帳'!M141,'自動車台帳'!$AP141,0)</f>
        <v>#N/A</v>
      </c>
      <c r="L140" s="152" t="e">
        <f ca="1">OFFSET('自動車台帳'!N141,'自動車台帳'!$AP141,0)</f>
        <v>#N/A</v>
      </c>
      <c r="M140" s="148" t="e">
        <f ca="1">OFFSET('自動車台帳'!AB141,'自動車台帳'!$AP141,0)</f>
        <v>#N/A</v>
      </c>
      <c r="N140" s="148" t="e">
        <f ca="1">OFFSET('自動車台帳'!AC141,'自動車台帳'!$AP141,0)</f>
        <v>#N/A</v>
      </c>
      <c r="O140" s="153" t="e">
        <f ca="1">OFFSET('自動車台帳'!AD141,'自動車台帳'!$AP141,0)</f>
        <v>#N/A</v>
      </c>
      <c r="P140" s="154" t="e">
        <f ca="1">OFFSET('自動車台帳'!AE141,'自動車台帳'!$AP141,0)</f>
        <v>#N/A</v>
      </c>
      <c r="Q140" s="154" t="e">
        <f ca="1">OFFSET('自動車台帳'!AF141,'自動車台帳'!$AP141,0)</f>
        <v>#N/A</v>
      </c>
    </row>
    <row r="141" spans="1:17" ht="13.5">
      <c r="A141" s="148" t="e">
        <f ca="1">OFFSET('自動車台帳'!C142,'自動車台帳'!$AP142,0)</f>
        <v>#N/A</v>
      </c>
      <c r="B141" s="148" t="e">
        <f ca="1">OFFSET('自動車台帳'!D142,'自動車台帳'!$AP142,0)</f>
        <v>#N/A</v>
      </c>
      <c r="C141" s="148" t="e">
        <f ca="1">OFFSET('自動車台帳'!E142,'自動車台帳'!$AP142,0)</f>
        <v>#N/A</v>
      </c>
      <c r="D141" s="148" t="e">
        <f ca="1">OFFSET('自動車台帳'!F142,'自動車台帳'!$AP142,0)</f>
        <v>#N/A</v>
      </c>
      <c r="E141" s="149" t="e">
        <f ca="1">OFFSET('自動車台帳'!G142,'自動車台帳'!$AP142,0)</f>
        <v>#N/A</v>
      </c>
      <c r="F141" s="150" t="e">
        <f ca="1">OFFSET('自動車台帳'!H142,'自動車台帳'!$AP142,0)</f>
        <v>#N/A</v>
      </c>
      <c r="G141" s="148" t="e">
        <f ca="1">OFFSET('自動車台帳'!I142,'自動車台帳'!$AP142,0)</f>
        <v>#N/A</v>
      </c>
      <c r="H141" s="148" t="e">
        <f ca="1">OFFSET('自動車台帳'!J142,'自動車台帳'!$AP142,0)</f>
        <v>#N/A</v>
      </c>
      <c r="I141" s="149" t="e">
        <f ca="1">OFFSET('自動車台帳'!K142,'自動車台帳'!$AP142,0)</f>
        <v>#N/A</v>
      </c>
      <c r="J141" s="151" t="e">
        <f ca="1">OFFSET('自動車台帳'!L142,'自動車台帳'!$AP142,0)</f>
        <v>#N/A</v>
      </c>
      <c r="K141" s="152" t="e">
        <f ca="1">OFFSET('自動車台帳'!M142,'自動車台帳'!$AP142,0)</f>
        <v>#N/A</v>
      </c>
      <c r="L141" s="152" t="e">
        <f ca="1">OFFSET('自動車台帳'!N142,'自動車台帳'!$AP142,0)</f>
        <v>#N/A</v>
      </c>
      <c r="M141" s="148" t="e">
        <f ca="1">OFFSET('自動車台帳'!AB142,'自動車台帳'!$AP142,0)</f>
        <v>#N/A</v>
      </c>
      <c r="N141" s="148" t="e">
        <f ca="1">OFFSET('自動車台帳'!AC142,'自動車台帳'!$AP142,0)</f>
        <v>#N/A</v>
      </c>
      <c r="O141" s="153" t="e">
        <f ca="1">OFFSET('自動車台帳'!AD142,'自動車台帳'!$AP142,0)</f>
        <v>#N/A</v>
      </c>
      <c r="P141" s="154" t="e">
        <f ca="1">OFFSET('自動車台帳'!AE142,'自動車台帳'!$AP142,0)</f>
        <v>#N/A</v>
      </c>
      <c r="Q141" s="154" t="e">
        <f ca="1">OFFSET('自動車台帳'!AF142,'自動車台帳'!$AP142,0)</f>
        <v>#N/A</v>
      </c>
    </row>
    <row r="142" spans="1:17" ht="13.5">
      <c r="A142" s="148" t="e">
        <f ca="1">OFFSET('自動車台帳'!C143,'自動車台帳'!$AP143,0)</f>
        <v>#N/A</v>
      </c>
      <c r="B142" s="148" t="e">
        <f ca="1">OFFSET('自動車台帳'!D143,'自動車台帳'!$AP143,0)</f>
        <v>#N/A</v>
      </c>
      <c r="C142" s="148" t="e">
        <f ca="1">OFFSET('自動車台帳'!E143,'自動車台帳'!$AP143,0)</f>
        <v>#N/A</v>
      </c>
      <c r="D142" s="148" t="e">
        <f ca="1">OFFSET('自動車台帳'!F143,'自動車台帳'!$AP143,0)</f>
        <v>#N/A</v>
      </c>
      <c r="E142" s="149" t="e">
        <f ca="1">OFFSET('自動車台帳'!G143,'自動車台帳'!$AP143,0)</f>
        <v>#N/A</v>
      </c>
      <c r="F142" s="150" t="e">
        <f ca="1">OFFSET('自動車台帳'!H143,'自動車台帳'!$AP143,0)</f>
        <v>#N/A</v>
      </c>
      <c r="G142" s="148" t="e">
        <f ca="1">OFFSET('自動車台帳'!I143,'自動車台帳'!$AP143,0)</f>
        <v>#N/A</v>
      </c>
      <c r="H142" s="148" t="e">
        <f ca="1">OFFSET('自動車台帳'!J143,'自動車台帳'!$AP143,0)</f>
        <v>#N/A</v>
      </c>
      <c r="I142" s="149" t="e">
        <f ca="1">OFFSET('自動車台帳'!K143,'自動車台帳'!$AP143,0)</f>
        <v>#N/A</v>
      </c>
      <c r="J142" s="151" t="e">
        <f ca="1">OFFSET('自動車台帳'!L143,'自動車台帳'!$AP143,0)</f>
        <v>#N/A</v>
      </c>
      <c r="K142" s="152" t="e">
        <f ca="1">OFFSET('自動車台帳'!M143,'自動車台帳'!$AP143,0)</f>
        <v>#N/A</v>
      </c>
      <c r="L142" s="152" t="e">
        <f ca="1">OFFSET('自動車台帳'!N143,'自動車台帳'!$AP143,0)</f>
        <v>#N/A</v>
      </c>
      <c r="M142" s="148" t="e">
        <f ca="1">OFFSET('自動車台帳'!AB143,'自動車台帳'!$AP143,0)</f>
        <v>#N/A</v>
      </c>
      <c r="N142" s="148" t="e">
        <f ca="1">OFFSET('自動車台帳'!AC143,'自動車台帳'!$AP143,0)</f>
        <v>#N/A</v>
      </c>
      <c r="O142" s="153" t="e">
        <f ca="1">OFFSET('自動車台帳'!AD143,'自動車台帳'!$AP143,0)</f>
        <v>#N/A</v>
      </c>
      <c r="P142" s="154" t="e">
        <f ca="1">OFFSET('自動車台帳'!AE143,'自動車台帳'!$AP143,0)</f>
        <v>#N/A</v>
      </c>
      <c r="Q142" s="154" t="e">
        <f ca="1">OFFSET('自動車台帳'!AF143,'自動車台帳'!$AP143,0)</f>
        <v>#N/A</v>
      </c>
    </row>
    <row r="143" spans="1:17" ht="13.5">
      <c r="A143" s="148" t="e">
        <f ca="1">OFFSET('自動車台帳'!C144,'自動車台帳'!$AP144,0)</f>
        <v>#N/A</v>
      </c>
      <c r="B143" s="148" t="e">
        <f ca="1">OFFSET('自動車台帳'!D144,'自動車台帳'!$AP144,0)</f>
        <v>#N/A</v>
      </c>
      <c r="C143" s="148" t="e">
        <f ca="1">OFFSET('自動車台帳'!E144,'自動車台帳'!$AP144,0)</f>
        <v>#N/A</v>
      </c>
      <c r="D143" s="148" t="e">
        <f ca="1">OFFSET('自動車台帳'!F144,'自動車台帳'!$AP144,0)</f>
        <v>#N/A</v>
      </c>
      <c r="E143" s="149" t="e">
        <f ca="1">OFFSET('自動車台帳'!G144,'自動車台帳'!$AP144,0)</f>
        <v>#N/A</v>
      </c>
      <c r="F143" s="150" t="e">
        <f ca="1">OFFSET('自動車台帳'!H144,'自動車台帳'!$AP144,0)</f>
        <v>#N/A</v>
      </c>
      <c r="G143" s="148" t="e">
        <f ca="1">OFFSET('自動車台帳'!I144,'自動車台帳'!$AP144,0)</f>
        <v>#N/A</v>
      </c>
      <c r="H143" s="148" t="e">
        <f ca="1">OFFSET('自動車台帳'!J144,'自動車台帳'!$AP144,0)</f>
        <v>#N/A</v>
      </c>
      <c r="I143" s="149" t="e">
        <f ca="1">OFFSET('自動車台帳'!K144,'自動車台帳'!$AP144,0)</f>
        <v>#N/A</v>
      </c>
      <c r="J143" s="151" t="e">
        <f ca="1">OFFSET('自動車台帳'!L144,'自動車台帳'!$AP144,0)</f>
        <v>#N/A</v>
      </c>
      <c r="K143" s="152" t="e">
        <f ca="1">OFFSET('自動車台帳'!M144,'自動車台帳'!$AP144,0)</f>
        <v>#N/A</v>
      </c>
      <c r="L143" s="152" t="e">
        <f ca="1">OFFSET('自動車台帳'!N144,'自動車台帳'!$AP144,0)</f>
        <v>#N/A</v>
      </c>
      <c r="M143" s="148" t="e">
        <f ca="1">OFFSET('自動車台帳'!AB144,'自動車台帳'!$AP144,0)</f>
        <v>#N/A</v>
      </c>
      <c r="N143" s="148" t="e">
        <f ca="1">OFFSET('自動車台帳'!AC144,'自動車台帳'!$AP144,0)</f>
        <v>#N/A</v>
      </c>
      <c r="O143" s="153" t="e">
        <f ca="1">OFFSET('自動車台帳'!AD144,'自動車台帳'!$AP144,0)</f>
        <v>#N/A</v>
      </c>
      <c r="P143" s="154" t="e">
        <f ca="1">OFFSET('自動車台帳'!AE144,'自動車台帳'!$AP144,0)</f>
        <v>#N/A</v>
      </c>
      <c r="Q143" s="154" t="e">
        <f ca="1">OFFSET('自動車台帳'!AF144,'自動車台帳'!$AP144,0)</f>
        <v>#N/A</v>
      </c>
    </row>
    <row r="144" spans="1:17" ht="13.5">
      <c r="A144" s="148" t="e">
        <f ca="1">OFFSET('自動車台帳'!C145,'自動車台帳'!$AP145,0)</f>
        <v>#N/A</v>
      </c>
      <c r="B144" s="148" t="e">
        <f ca="1">OFFSET('自動車台帳'!D145,'自動車台帳'!$AP145,0)</f>
        <v>#N/A</v>
      </c>
      <c r="C144" s="148" t="e">
        <f ca="1">OFFSET('自動車台帳'!E145,'自動車台帳'!$AP145,0)</f>
        <v>#N/A</v>
      </c>
      <c r="D144" s="148" t="e">
        <f ca="1">OFFSET('自動車台帳'!F145,'自動車台帳'!$AP145,0)</f>
        <v>#N/A</v>
      </c>
      <c r="E144" s="149" t="e">
        <f ca="1">OFFSET('自動車台帳'!G145,'自動車台帳'!$AP145,0)</f>
        <v>#N/A</v>
      </c>
      <c r="F144" s="150" t="e">
        <f ca="1">OFFSET('自動車台帳'!H145,'自動車台帳'!$AP145,0)</f>
        <v>#N/A</v>
      </c>
      <c r="G144" s="148" t="e">
        <f ca="1">OFFSET('自動車台帳'!I145,'自動車台帳'!$AP145,0)</f>
        <v>#N/A</v>
      </c>
      <c r="H144" s="148" t="e">
        <f ca="1">OFFSET('自動車台帳'!J145,'自動車台帳'!$AP145,0)</f>
        <v>#N/A</v>
      </c>
      <c r="I144" s="149" t="e">
        <f ca="1">OFFSET('自動車台帳'!K145,'自動車台帳'!$AP145,0)</f>
        <v>#N/A</v>
      </c>
      <c r="J144" s="151" t="e">
        <f ca="1">OFFSET('自動車台帳'!L145,'自動車台帳'!$AP145,0)</f>
        <v>#N/A</v>
      </c>
      <c r="K144" s="152" t="e">
        <f ca="1">OFFSET('自動車台帳'!M145,'自動車台帳'!$AP145,0)</f>
        <v>#N/A</v>
      </c>
      <c r="L144" s="152" t="e">
        <f ca="1">OFFSET('自動車台帳'!N145,'自動車台帳'!$AP145,0)</f>
        <v>#N/A</v>
      </c>
      <c r="M144" s="148" t="e">
        <f ca="1">OFFSET('自動車台帳'!AB145,'自動車台帳'!$AP145,0)</f>
        <v>#N/A</v>
      </c>
      <c r="N144" s="148" t="e">
        <f ca="1">OFFSET('自動車台帳'!AC145,'自動車台帳'!$AP145,0)</f>
        <v>#N/A</v>
      </c>
      <c r="O144" s="153" t="e">
        <f ca="1">OFFSET('自動車台帳'!AD145,'自動車台帳'!$AP145,0)</f>
        <v>#N/A</v>
      </c>
      <c r="P144" s="154" t="e">
        <f ca="1">OFFSET('自動車台帳'!AE145,'自動車台帳'!$AP145,0)</f>
        <v>#N/A</v>
      </c>
      <c r="Q144" s="154" t="e">
        <f ca="1">OFFSET('自動車台帳'!AF145,'自動車台帳'!$AP145,0)</f>
        <v>#N/A</v>
      </c>
    </row>
    <row r="145" spans="1:17" ht="13.5">
      <c r="A145" s="148" t="e">
        <f ca="1">OFFSET('自動車台帳'!C146,'自動車台帳'!$AP146,0)</f>
        <v>#N/A</v>
      </c>
      <c r="B145" s="148" t="e">
        <f ca="1">OFFSET('自動車台帳'!D146,'自動車台帳'!$AP146,0)</f>
        <v>#N/A</v>
      </c>
      <c r="C145" s="148" t="e">
        <f ca="1">OFFSET('自動車台帳'!E146,'自動車台帳'!$AP146,0)</f>
        <v>#N/A</v>
      </c>
      <c r="D145" s="148" t="e">
        <f ca="1">OFFSET('自動車台帳'!F146,'自動車台帳'!$AP146,0)</f>
        <v>#N/A</v>
      </c>
      <c r="E145" s="149" t="e">
        <f ca="1">OFFSET('自動車台帳'!G146,'自動車台帳'!$AP146,0)</f>
        <v>#N/A</v>
      </c>
      <c r="F145" s="150" t="e">
        <f ca="1">OFFSET('自動車台帳'!H146,'自動車台帳'!$AP146,0)</f>
        <v>#N/A</v>
      </c>
      <c r="G145" s="148" t="e">
        <f ca="1">OFFSET('自動車台帳'!I146,'自動車台帳'!$AP146,0)</f>
        <v>#N/A</v>
      </c>
      <c r="H145" s="148" t="e">
        <f ca="1">OFFSET('自動車台帳'!J146,'自動車台帳'!$AP146,0)</f>
        <v>#N/A</v>
      </c>
      <c r="I145" s="149" t="e">
        <f ca="1">OFFSET('自動車台帳'!K146,'自動車台帳'!$AP146,0)</f>
        <v>#N/A</v>
      </c>
      <c r="J145" s="151" t="e">
        <f ca="1">OFFSET('自動車台帳'!L146,'自動車台帳'!$AP146,0)</f>
        <v>#N/A</v>
      </c>
      <c r="K145" s="152" t="e">
        <f ca="1">OFFSET('自動車台帳'!M146,'自動車台帳'!$AP146,0)</f>
        <v>#N/A</v>
      </c>
      <c r="L145" s="152" t="e">
        <f ca="1">OFFSET('自動車台帳'!N146,'自動車台帳'!$AP146,0)</f>
        <v>#N/A</v>
      </c>
      <c r="M145" s="148" t="e">
        <f ca="1">OFFSET('自動車台帳'!AB146,'自動車台帳'!$AP146,0)</f>
        <v>#N/A</v>
      </c>
      <c r="N145" s="148" t="e">
        <f ca="1">OFFSET('自動車台帳'!AC146,'自動車台帳'!$AP146,0)</f>
        <v>#N/A</v>
      </c>
      <c r="O145" s="153" t="e">
        <f ca="1">OFFSET('自動車台帳'!AD146,'自動車台帳'!$AP146,0)</f>
        <v>#N/A</v>
      </c>
      <c r="P145" s="154" t="e">
        <f ca="1">OFFSET('自動車台帳'!AE146,'自動車台帳'!$AP146,0)</f>
        <v>#N/A</v>
      </c>
      <c r="Q145" s="154" t="e">
        <f ca="1">OFFSET('自動車台帳'!AF146,'自動車台帳'!$AP146,0)</f>
        <v>#N/A</v>
      </c>
    </row>
    <row r="146" spans="1:17" ht="13.5">
      <c r="A146" s="148" t="e">
        <f ca="1">OFFSET('自動車台帳'!C147,'自動車台帳'!$AP147,0)</f>
        <v>#N/A</v>
      </c>
      <c r="B146" s="148" t="e">
        <f ca="1">OFFSET('自動車台帳'!D147,'自動車台帳'!$AP147,0)</f>
        <v>#N/A</v>
      </c>
      <c r="C146" s="148" t="e">
        <f ca="1">OFFSET('自動車台帳'!E147,'自動車台帳'!$AP147,0)</f>
        <v>#N/A</v>
      </c>
      <c r="D146" s="148" t="e">
        <f ca="1">OFFSET('自動車台帳'!F147,'自動車台帳'!$AP147,0)</f>
        <v>#N/A</v>
      </c>
      <c r="E146" s="149" t="e">
        <f ca="1">OFFSET('自動車台帳'!G147,'自動車台帳'!$AP147,0)</f>
        <v>#N/A</v>
      </c>
      <c r="F146" s="150" t="e">
        <f ca="1">OFFSET('自動車台帳'!H147,'自動車台帳'!$AP147,0)</f>
        <v>#N/A</v>
      </c>
      <c r="G146" s="148" t="e">
        <f ca="1">OFFSET('自動車台帳'!I147,'自動車台帳'!$AP147,0)</f>
        <v>#N/A</v>
      </c>
      <c r="H146" s="148" t="e">
        <f ca="1">OFFSET('自動車台帳'!J147,'自動車台帳'!$AP147,0)</f>
        <v>#N/A</v>
      </c>
      <c r="I146" s="149" t="e">
        <f ca="1">OFFSET('自動車台帳'!K147,'自動車台帳'!$AP147,0)</f>
        <v>#N/A</v>
      </c>
      <c r="J146" s="151" t="e">
        <f ca="1">OFFSET('自動車台帳'!L147,'自動車台帳'!$AP147,0)</f>
        <v>#N/A</v>
      </c>
      <c r="K146" s="152" t="e">
        <f ca="1">OFFSET('自動車台帳'!M147,'自動車台帳'!$AP147,0)</f>
        <v>#N/A</v>
      </c>
      <c r="L146" s="152" t="e">
        <f ca="1">OFFSET('自動車台帳'!N147,'自動車台帳'!$AP147,0)</f>
        <v>#N/A</v>
      </c>
      <c r="M146" s="148" t="e">
        <f ca="1">OFFSET('自動車台帳'!AB147,'自動車台帳'!$AP147,0)</f>
        <v>#N/A</v>
      </c>
      <c r="N146" s="148" t="e">
        <f ca="1">OFFSET('自動車台帳'!AC147,'自動車台帳'!$AP147,0)</f>
        <v>#N/A</v>
      </c>
      <c r="O146" s="153" t="e">
        <f ca="1">OFFSET('自動車台帳'!AD147,'自動車台帳'!$AP147,0)</f>
        <v>#N/A</v>
      </c>
      <c r="P146" s="154" t="e">
        <f ca="1">OFFSET('自動車台帳'!AE147,'自動車台帳'!$AP147,0)</f>
        <v>#N/A</v>
      </c>
      <c r="Q146" s="154" t="e">
        <f ca="1">OFFSET('自動車台帳'!AF147,'自動車台帳'!$AP147,0)</f>
        <v>#N/A</v>
      </c>
    </row>
    <row r="147" spans="1:17" ht="13.5">
      <c r="A147" s="148" t="e">
        <f ca="1">OFFSET('自動車台帳'!C148,'自動車台帳'!$AP148,0)</f>
        <v>#N/A</v>
      </c>
      <c r="B147" s="148" t="e">
        <f ca="1">OFFSET('自動車台帳'!D148,'自動車台帳'!$AP148,0)</f>
        <v>#N/A</v>
      </c>
      <c r="C147" s="148" t="e">
        <f ca="1">OFFSET('自動車台帳'!E148,'自動車台帳'!$AP148,0)</f>
        <v>#N/A</v>
      </c>
      <c r="D147" s="148" t="e">
        <f ca="1">OFFSET('自動車台帳'!F148,'自動車台帳'!$AP148,0)</f>
        <v>#N/A</v>
      </c>
      <c r="E147" s="149" t="e">
        <f ca="1">OFFSET('自動車台帳'!G148,'自動車台帳'!$AP148,0)</f>
        <v>#N/A</v>
      </c>
      <c r="F147" s="150" t="e">
        <f ca="1">OFFSET('自動車台帳'!H148,'自動車台帳'!$AP148,0)</f>
        <v>#N/A</v>
      </c>
      <c r="G147" s="148" t="e">
        <f ca="1">OFFSET('自動車台帳'!I148,'自動車台帳'!$AP148,0)</f>
        <v>#N/A</v>
      </c>
      <c r="H147" s="148" t="e">
        <f ca="1">OFFSET('自動車台帳'!J148,'自動車台帳'!$AP148,0)</f>
        <v>#N/A</v>
      </c>
      <c r="I147" s="149" t="e">
        <f ca="1">OFFSET('自動車台帳'!K148,'自動車台帳'!$AP148,0)</f>
        <v>#N/A</v>
      </c>
      <c r="J147" s="151" t="e">
        <f ca="1">OFFSET('自動車台帳'!L148,'自動車台帳'!$AP148,0)</f>
        <v>#N/A</v>
      </c>
      <c r="K147" s="152" t="e">
        <f ca="1">OFFSET('自動車台帳'!M148,'自動車台帳'!$AP148,0)</f>
        <v>#N/A</v>
      </c>
      <c r="L147" s="152" t="e">
        <f ca="1">OFFSET('自動車台帳'!N148,'自動車台帳'!$AP148,0)</f>
        <v>#N/A</v>
      </c>
      <c r="M147" s="148" t="e">
        <f ca="1">OFFSET('自動車台帳'!AB148,'自動車台帳'!$AP148,0)</f>
        <v>#N/A</v>
      </c>
      <c r="N147" s="148" t="e">
        <f ca="1">OFFSET('自動車台帳'!AC148,'自動車台帳'!$AP148,0)</f>
        <v>#N/A</v>
      </c>
      <c r="O147" s="153" t="e">
        <f ca="1">OFFSET('自動車台帳'!AD148,'自動車台帳'!$AP148,0)</f>
        <v>#N/A</v>
      </c>
      <c r="P147" s="154" t="e">
        <f ca="1">OFFSET('自動車台帳'!AE148,'自動車台帳'!$AP148,0)</f>
        <v>#N/A</v>
      </c>
      <c r="Q147" s="154" t="e">
        <f ca="1">OFFSET('自動車台帳'!AF148,'自動車台帳'!$AP148,0)</f>
        <v>#N/A</v>
      </c>
    </row>
    <row r="148" spans="1:17" ht="13.5">
      <c r="A148" s="148" t="e">
        <f ca="1">OFFSET('自動車台帳'!C149,'自動車台帳'!$AP149,0)</f>
        <v>#N/A</v>
      </c>
      <c r="B148" s="148" t="e">
        <f ca="1">OFFSET('自動車台帳'!D149,'自動車台帳'!$AP149,0)</f>
        <v>#N/A</v>
      </c>
      <c r="C148" s="148" t="e">
        <f ca="1">OFFSET('自動車台帳'!E149,'自動車台帳'!$AP149,0)</f>
        <v>#N/A</v>
      </c>
      <c r="D148" s="148" t="e">
        <f ca="1">OFFSET('自動車台帳'!F149,'自動車台帳'!$AP149,0)</f>
        <v>#N/A</v>
      </c>
      <c r="E148" s="149" t="e">
        <f ca="1">OFFSET('自動車台帳'!G149,'自動車台帳'!$AP149,0)</f>
        <v>#N/A</v>
      </c>
      <c r="F148" s="150" t="e">
        <f ca="1">OFFSET('自動車台帳'!H149,'自動車台帳'!$AP149,0)</f>
        <v>#N/A</v>
      </c>
      <c r="G148" s="148" t="e">
        <f ca="1">OFFSET('自動車台帳'!I149,'自動車台帳'!$AP149,0)</f>
        <v>#N/A</v>
      </c>
      <c r="H148" s="148" t="e">
        <f ca="1">OFFSET('自動車台帳'!J149,'自動車台帳'!$AP149,0)</f>
        <v>#N/A</v>
      </c>
      <c r="I148" s="149" t="e">
        <f ca="1">OFFSET('自動車台帳'!K149,'自動車台帳'!$AP149,0)</f>
        <v>#N/A</v>
      </c>
      <c r="J148" s="151" t="e">
        <f ca="1">OFFSET('自動車台帳'!L149,'自動車台帳'!$AP149,0)</f>
        <v>#N/A</v>
      </c>
      <c r="K148" s="152" t="e">
        <f ca="1">OFFSET('自動車台帳'!M149,'自動車台帳'!$AP149,0)</f>
        <v>#N/A</v>
      </c>
      <c r="L148" s="152" t="e">
        <f ca="1">OFFSET('自動車台帳'!N149,'自動車台帳'!$AP149,0)</f>
        <v>#N/A</v>
      </c>
      <c r="M148" s="148" t="e">
        <f ca="1">OFFSET('自動車台帳'!AB149,'自動車台帳'!$AP149,0)</f>
        <v>#N/A</v>
      </c>
      <c r="N148" s="148" t="e">
        <f ca="1">OFFSET('自動車台帳'!AC149,'自動車台帳'!$AP149,0)</f>
        <v>#N/A</v>
      </c>
      <c r="O148" s="153" t="e">
        <f ca="1">OFFSET('自動車台帳'!AD149,'自動車台帳'!$AP149,0)</f>
        <v>#N/A</v>
      </c>
      <c r="P148" s="154" t="e">
        <f ca="1">OFFSET('自動車台帳'!AE149,'自動車台帳'!$AP149,0)</f>
        <v>#N/A</v>
      </c>
      <c r="Q148" s="154" t="e">
        <f ca="1">OFFSET('自動車台帳'!AF149,'自動車台帳'!$AP149,0)</f>
        <v>#N/A</v>
      </c>
    </row>
    <row r="149" spans="1:17" ht="13.5">
      <c r="A149" s="148" t="e">
        <f ca="1">OFFSET('自動車台帳'!C150,'自動車台帳'!$AP150,0)</f>
        <v>#N/A</v>
      </c>
      <c r="B149" s="148" t="e">
        <f ca="1">OFFSET('自動車台帳'!D150,'自動車台帳'!$AP150,0)</f>
        <v>#N/A</v>
      </c>
      <c r="C149" s="148" t="e">
        <f ca="1">OFFSET('自動車台帳'!E150,'自動車台帳'!$AP150,0)</f>
        <v>#N/A</v>
      </c>
      <c r="D149" s="148" t="e">
        <f ca="1">OFFSET('自動車台帳'!F150,'自動車台帳'!$AP150,0)</f>
        <v>#N/A</v>
      </c>
      <c r="E149" s="149" t="e">
        <f ca="1">OFFSET('自動車台帳'!G150,'自動車台帳'!$AP150,0)</f>
        <v>#N/A</v>
      </c>
      <c r="F149" s="150" t="e">
        <f ca="1">OFFSET('自動車台帳'!H150,'自動車台帳'!$AP150,0)</f>
        <v>#N/A</v>
      </c>
      <c r="G149" s="148" t="e">
        <f ca="1">OFFSET('自動車台帳'!I150,'自動車台帳'!$AP150,0)</f>
        <v>#N/A</v>
      </c>
      <c r="H149" s="148" t="e">
        <f ca="1">OFFSET('自動車台帳'!J150,'自動車台帳'!$AP150,0)</f>
        <v>#N/A</v>
      </c>
      <c r="I149" s="149" t="e">
        <f ca="1">OFFSET('自動車台帳'!K150,'自動車台帳'!$AP150,0)</f>
        <v>#N/A</v>
      </c>
      <c r="J149" s="151" t="e">
        <f ca="1">OFFSET('自動車台帳'!L150,'自動車台帳'!$AP150,0)</f>
        <v>#N/A</v>
      </c>
      <c r="K149" s="152" t="e">
        <f ca="1">OFFSET('自動車台帳'!M150,'自動車台帳'!$AP150,0)</f>
        <v>#N/A</v>
      </c>
      <c r="L149" s="152" t="e">
        <f ca="1">OFFSET('自動車台帳'!N150,'自動車台帳'!$AP150,0)</f>
        <v>#N/A</v>
      </c>
      <c r="M149" s="148" t="e">
        <f ca="1">OFFSET('自動車台帳'!AB150,'自動車台帳'!$AP150,0)</f>
        <v>#N/A</v>
      </c>
      <c r="N149" s="148" t="e">
        <f ca="1">OFFSET('自動車台帳'!AC150,'自動車台帳'!$AP150,0)</f>
        <v>#N/A</v>
      </c>
      <c r="O149" s="153" t="e">
        <f ca="1">OFFSET('自動車台帳'!AD150,'自動車台帳'!$AP150,0)</f>
        <v>#N/A</v>
      </c>
      <c r="P149" s="154" t="e">
        <f ca="1">OFFSET('自動車台帳'!AE150,'自動車台帳'!$AP150,0)</f>
        <v>#N/A</v>
      </c>
      <c r="Q149" s="154" t="e">
        <f ca="1">OFFSET('自動車台帳'!AF150,'自動車台帳'!$AP150,0)</f>
        <v>#N/A</v>
      </c>
    </row>
    <row r="150" spans="1:17" ht="13.5">
      <c r="A150" s="148" t="e">
        <f ca="1">OFFSET('自動車台帳'!C151,'自動車台帳'!$AP151,0)</f>
        <v>#N/A</v>
      </c>
      <c r="B150" s="148" t="e">
        <f ca="1">OFFSET('自動車台帳'!D151,'自動車台帳'!$AP151,0)</f>
        <v>#N/A</v>
      </c>
      <c r="C150" s="148" t="e">
        <f ca="1">OFFSET('自動車台帳'!E151,'自動車台帳'!$AP151,0)</f>
        <v>#N/A</v>
      </c>
      <c r="D150" s="148" t="e">
        <f ca="1">OFFSET('自動車台帳'!F151,'自動車台帳'!$AP151,0)</f>
        <v>#N/A</v>
      </c>
      <c r="E150" s="149" t="e">
        <f ca="1">OFFSET('自動車台帳'!G151,'自動車台帳'!$AP151,0)</f>
        <v>#N/A</v>
      </c>
      <c r="F150" s="150" t="e">
        <f ca="1">OFFSET('自動車台帳'!H151,'自動車台帳'!$AP151,0)</f>
        <v>#N/A</v>
      </c>
      <c r="G150" s="148" t="e">
        <f ca="1">OFFSET('自動車台帳'!I151,'自動車台帳'!$AP151,0)</f>
        <v>#N/A</v>
      </c>
      <c r="H150" s="148" t="e">
        <f ca="1">OFFSET('自動車台帳'!J151,'自動車台帳'!$AP151,0)</f>
        <v>#N/A</v>
      </c>
      <c r="I150" s="149" t="e">
        <f ca="1">OFFSET('自動車台帳'!K151,'自動車台帳'!$AP151,0)</f>
        <v>#N/A</v>
      </c>
      <c r="J150" s="151" t="e">
        <f ca="1">OFFSET('自動車台帳'!L151,'自動車台帳'!$AP151,0)</f>
        <v>#N/A</v>
      </c>
      <c r="K150" s="152" t="e">
        <f ca="1">OFFSET('自動車台帳'!M151,'自動車台帳'!$AP151,0)</f>
        <v>#N/A</v>
      </c>
      <c r="L150" s="152" t="e">
        <f ca="1">OFFSET('自動車台帳'!N151,'自動車台帳'!$AP151,0)</f>
        <v>#N/A</v>
      </c>
      <c r="M150" s="148" t="e">
        <f ca="1">OFFSET('自動車台帳'!AB151,'自動車台帳'!$AP151,0)</f>
        <v>#N/A</v>
      </c>
      <c r="N150" s="148" t="e">
        <f ca="1">OFFSET('自動車台帳'!AC151,'自動車台帳'!$AP151,0)</f>
        <v>#N/A</v>
      </c>
      <c r="O150" s="153" t="e">
        <f ca="1">OFFSET('自動車台帳'!AD151,'自動車台帳'!$AP151,0)</f>
        <v>#N/A</v>
      </c>
      <c r="P150" s="154" t="e">
        <f ca="1">OFFSET('自動車台帳'!AE151,'自動車台帳'!$AP151,0)</f>
        <v>#N/A</v>
      </c>
      <c r="Q150" s="154" t="e">
        <f ca="1">OFFSET('自動車台帳'!AF151,'自動車台帳'!$AP151,0)</f>
        <v>#N/A</v>
      </c>
    </row>
    <row r="151" spans="1:17" ht="13.5">
      <c r="A151" s="148" t="e">
        <f ca="1">OFFSET('自動車台帳'!C152,'自動車台帳'!$AP152,0)</f>
        <v>#N/A</v>
      </c>
      <c r="B151" s="148" t="e">
        <f ca="1">OFFSET('自動車台帳'!D152,'自動車台帳'!$AP152,0)</f>
        <v>#N/A</v>
      </c>
      <c r="C151" s="148" t="e">
        <f ca="1">OFFSET('自動車台帳'!E152,'自動車台帳'!$AP152,0)</f>
        <v>#N/A</v>
      </c>
      <c r="D151" s="148" t="e">
        <f ca="1">OFFSET('自動車台帳'!F152,'自動車台帳'!$AP152,0)</f>
        <v>#N/A</v>
      </c>
      <c r="E151" s="149" t="e">
        <f ca="1">OFFSET('自動車台帳'!G152,'自動車台帳'!$AP152,0)</f>
        <v>#N/A</v>
      </c>
      <c r="F151" s="150" t="e">
        <f ca="1">OFFSET('自動車台帳'!H152,'自動車台帳'!$AP152,0)</f>
        <v>#N/A</v>
      </c>
      <c r="G151" s="148" t="e">
        <f ca="1">OFFSET('自動車台帳'!I152,'自動車台帳'!$AP152,0)</f>
        <v>#N/A</v>
      </c>
      <c r="H151" s="148" t="e">
        <f ca="1">OFFSET('自動車台帳'!J152,'自動車台帳'!$AP152,0)</f>
        <v>#N/A</v>
      </c>
      <c r="I151" s="149" t="e">
        <f ca="1">OFFSET('自動車台帳'!K152,'自動車台帳'!$AP152,0)</f>
        <v>#N/A</v>
      </c>
      <c r="J151" s="151" t="e">
        <f ca="1">OFFSET('自動車台帳'!L152,'自動車台帳'!$AP152,0)</f>
        <v>#N/A</v>
      </c>
      <c r="K151" s="152" t="e">
        <f ca="1">OFFSET('自動車台帳'!M152,'自動車台帳'!$AP152,0)</f>
        <v>#N/A</v>
      </c>
      <c r="L151" s="152" t="e">
        <f ca="1">OFFSET('自動車台帳'!N152,'自動車台帳'!$AP152,0)</f>
        <v>#N/A</v>
      </c>
      <c r="M151" s="148" t="e">
        <f ca="1">OFFSET('自動車台帳'!AB152,'自動車台帳'!$AP152,0)</f>
        <v>#N/A</v>
      </c>
      <c r="N151" s="148" t="e">
        <f ca="1">OFFSET('自動車台帳'!AC152,'自動車台帳'!$AP152,0)</f>
        <v>#N/A</v>
      </c>
      <c r="O151" s="153" t="e">
        <f ca="1">OFFSET('自動車台帳'!AD152,'自動車台帳'!$AP152,0)</f>
        <v>#N/A</v>
      </c>
      <c r="P151" s="154" t="e">
        <f ca="1">OFFSET('自動車台帳'!AE152,'自動車台帳'!$AP152,0)</f>
        <v>#N/A</v>
      </c>
      <c r="Q151" s="154" t="e">
        <f ca="1">OFFSET('自動車台帳'!AF152,'自動車台帳'!$AP152,0)</f>
        <v>#N/A</v>
      </c>
    </row>
    <row r="152" spans="1:17" ht="13.5">
      <c r="A152" s="148" t="e">
        <f ca="1">OFFSET('自動車台帳'!C153,'自動車台帳'!$AP153,0)</f>
        <v>#N/A</v>
      </c>
      <c r="B152" s="148" t="e">
        <f ca="1">OFFSET('自動車台帳'!D153,'自動車台帳'!$AP153,0)</f>
        <v>#N/A</v>
      </c>
      <c r="C152" s="148" t="e">
        <f ca="1">OFFSET('自動車台帳'!E153,'自動車台帳'!$AP153,0)</f>
        <v>#N/A</v>
      </c>
      <c r="D152" s="148" t="e">
        <f ca="1">OFFSET('自動車台帳'!F153,'自動車台帳'!$AP153,0)</f>
        <v>#N/A</v>
      </c>
      <c r="E152" s="149" t="e">
        <f ca="1">OFFSET('自動車台帳'!G153,'自動車台帳'!$AP153,0)</f>
        <v>#N/A</v>
      </c>
      <c r="F152" s="150" t="e">
        <f ca="1">OFFSET('自動車台帳'!H153,'自動車台帳'!$AP153,0)</f>
        <v>#N/A</v>
      </c>
      <c r="G152" s="148" t="e">
        <f ca="1">OFFSET('自動車台帳'!I153,'自動車台帳'!$AP153,0)</f>
        <v>#N/A</v>
      </c>
      <c r="H152" s="148" t="e">
        <f ca="1">OFFSET('自動車台帳'!J153,'自動車台帳'!$AP153,0)</f>
        <v>#N/A</v>
      </c>
      <c r="I152" s="149" t="e">
        <f ca="1">OFFSET('自動車台帳'!K153,'自動車台帳'!$AP153,0)</f>
        <v>#N/A</v>
      </c>
      <c r="J152" s="151" t="e">
        <f ca="1">OFFSET('自動車台帳'!L153,'自動車台帳'!$AP153,0)</f>
        <v>#N/A</v>
      </c>
      <c r="K152" s="152" t="e">
        <f ca="1">OFFSET('自動車台帳'!M153,'自動車台帳'!$AP153,0)</f>
        <v>#N/A</v>
      </c>
      <c r="L152" s="152" t="e">
        <f ca="1">OFFSET('自動車台帳'!N153,'自動車台帳'!$AP153,0)</f>
        <v>#N/A</v>
      </c>
      <c r="M152" s="148" t="e">
        <f ca="1">OFFSET('自動車台帳'!AB153,'自動車台帳'!$AP153,0)</f>
        <v>#N/A</v>
      </c>
      <c r="N152" s="148" t="e">
        <f ca="1">OFFSET('自動車台帳'!AC153,'自動車台帳'!$AP153,0)</f>
        <v>#N/A</v>
      </c>
      <c r="O152" s="153" t="e">
        <f ca="1">OFFSET('自動車台帳'!AD153,'自動車台帳'!$AP153,0)</f>
        <v>#N/A</v>
      </c>
      <c r="P152" s="154" t="e">
        <f ca="1">OFFSET('自動車台帳'!AE153,'自動車台帳'!$AP153,0)</f>
        <v>#N/A</v>
      </c>
      <c r="Q152" s="154" t="e">
        <f ca="1">OFFSET('自動車台帳'!AF153,'自動車台帳'!$AP153,0)</f>
        <v>#N/A</v>
      </c>
    </row>
    <row r="153" spans="1:17" ht="13.5">
      <c r="A153" s="148" t="e">
        <f ca="1">OFFSET('自動車台帳'!C154,'自動車台帳'!$AP154,0)</f>
        <v>#N/A</v>
      </c>
      <c r="B153" s="148" t="e">
        <f ca="1">OFFSET('自動車台帳'!D154,'自動車台帳'!$AP154,0)</f>
        <v>#N/A</v>
      </c>
      <c r="C153" s="148" t="e">
        <f ca="1">OFFSET('自動車台帳'!E154,'自動車台帳'!$AP154,0)</f>
        <v>#N/A</v>
      </c>
      <c r="D153" s="148" t="e">
        <f ca="1">OFFSET('自動車台帳'!F154,'自動車台帳'!$AP154,0)</f>
        <v>#N/A</v>
      </c>
      <c r="E153" s="149" t="e">
        <f ca="1">OFFSET('自動車台帳'!G154,'自動車台帳'!$AP154,0)</f>
        <v>#N/A</v>
      </c>
      <c r="F153" s="150" t="e">
        <f ca="1">OFFSET('自動車台帳'!H154,'自動車台帳'!$AP154,0)</f>
        <v>#N/A</v>
      </c>
      <c r="G153" s="148" t="e">
        <f ca="1">OFFSET('自動車台帳'!I154,'自動車台帳'!$AP154,0)</f>
        <v>#N/A</v>
      </c>
      <c r="H153" s="148" t="e">
        <f ca="1">OFFSET('自動車台帳'!J154,'自動車台帳'!$AP154,0)</f>
        <v>#N/A</v>
      </c>
      <c r="I153" s="149" t="e">
        <f ca="1">OFFSET('自動車台帳'!K154,'自動車台帳'!$AP154,0)</f>
        <v>#N/A</v>
      </c>
      <c r="J153" s="151" t="e">
        <f ca="1">OFFSET('自動車台帳'!L154,'自動車台帳'!$AP154,0)</f>
        <v>#N/A</v>
      </c>
      <c r="K153" s="152" t="e">
        <f ca="1">OFFSET('自動車台帳'!M154,'自動車台帳'!$AP154,0)</f>
        <v>#N/A</v>
      </c>
      <c r="L153" s="152" t="e">
        <f ca="1">OFFSET('自動車台帳'!N154,'自動車台帳'!$AP154,0)</f>
        <v>#N/A</v>
      </c>
      <c r="M153" s="148" t="e">
        <f ca="1">OFFSET('自動車台帳'!AB154,'自動車台帳'!$AP154,0)</f>
        <v>#N/A</v>
      </c>
      <c r="N153" s="148" t="e">
        <f ca="1">OFFSET('自動車台帳'!AC154,'自動車台帳'!$AP154,0)</f>
        <v>#N/A</v>
      </c>
      <c r="O153" s="153" t="e">
        <f ca="1">OFFSET('自動車台帳'!AD154,'自動車台帳'!$AP154,0)</f>
        <v>#N/A</v>
      </c>
      <c r="P153" s="154" t="e">
        <f ca="1">OFFSET('自動車台帳'!AE154,'自動車台帳'!$AP154,0)</f>
        <v>#N/A</v>
      </c>
      <c r="Q153" s="154" t="e">
        <f ca="1">OFFSET('自動車台帳'!AF154,'自動車台帳'!$AP154,0)</f>
        <v>#N/A</v>
      </c>
    </row>
    <row r="154" spans="1:17" ht="13.5">
      <c r="A154" s="148" t="e">
        <f ca="1">OFFSET('自動車台帳'!C155,'自動車台帳'!$AP155,0)</f>
        <v>#N/A</v>
      </c>
      <c r="B154" s="148" t="e">
        <f ca="1">OFFSET('自動車台帳'!D155,'自動車台帳'!$AP155,0)</f>
        <v>#N/A</v>
      </c>
      <c r="C154" s="148" t="e">
        <f ca="1">OFFSET('自動車台帳'!E155,'自動車台帳'!$AP155,0)</f>
        <v>#N/A</v>
      </c>
      <c r="D154" s="148" t="e">
        <f ca="1">OFFSET('自動車台帳'!F155,'自動車台帳'!$AP155,0)</f>
        <v>#N/A</v>
      </c>
      <c r="E154" s="149" t="e">
        <f ca="1">OFFSET('自動車台帳'!G155,'自動車台帳'!$AP155,0)</f>
        <v>#N/A</v>
      </c>
      <c r="F154" s="150" t="e">
        <f ca="1">OFFSET('自動車台帳'!H155,'自動車台帳'!$AP155,0)</f>
        <v>#N/A</v>
      </c>
      <c r="G154" s="148" t="e">
        <f ca="1">OFFSET('自動車台帳'!I155,'自動車台帳'!$AP155,0)</f>
        <v>#N/A</v>
      </c>
      <c r="H154" s="148" t="e">
        <f ca="1">OFFSET('自動車台帳'!J155,'自動車台帳'!$AP155,0)</f>
        <v>#N/A</v>
      </c>
      <c r="I154" s="149" t="e">
        <f ca="1">OFFSET('自動車台帳'!K155,'自動車台帳'!$AP155,0)</f>
        <v>#N/A</v>
      </c>
      <c r="J154" s="151" t="e">
        <f ca="1">OFFSET('自動車台帳'!L155,'自動車台帳'!$AP155,0)</f>
        <v>#N/A</v>
      </c>
      <c r="K154" s="152" t="e">
        <f ca="1">OFFSET('自動車台帳'!M155,'自動車台帳'!$AP155,0)</f>
        <v>#N/A</v>
      </c>
      <c r="L154" s="152" t="e">
        <f ca="1">OFFSET('自動車台帳'!N155,'自動車台帳'!$AP155,0)</f>
        <v>#N/A</v>
      </c>
      <c r="M154" s="148" t="e">
        <f ca="1">OFFSET('自動車台帳'!AB155,'自動車台帳'!$AP155,0)</f>
        <v>#N/A</v>
      </c>
      <c r="N154" s="148" t="e">
        <f ca="1">OFFSET('自動車台帳'!AC155,'自動車台帳'!$AP155,0)</f>
        <v>#N/A</v>
      </c>
      <c r="O154" s="153" t="e">
        <f ca="1">OFFSET('自動車台帳'!AD155,'自動車台帳'!$AP155,0)</f>
        <v>#N/A</v>
      </c>
      <c r="P154" s="154" t="e">
        <f ca="1">OFFSET('自動車台帳'!AE155,'自動車台帳'!$AP155,0)</f>
        <v>#N/A</v>
      </c>
      <c r="Q154" s="154" t="e">
        <f ca="1">OFFSET('自動車台帳'!AF155,'自動車台帳'!$AP155,0)</f>
        <v>#N/A</v>
      </c>
    </row>
    <row r="155" spans="1:17" ht="13.5">
      <c r="A155" s="148" t="e">
        <f ca="1">OFFSET('自動車台帳'!C156,'自動車台帳'!$AP156,0)</f>
        <v>#N/A</v>
      </c>
      <c r="B155" s="148" t="e">
        <f ca="1">OFFSET('自動車台帳'!D156,'自動車台帳'!$AP156,0)</f>
        <v>#N/A</v>
      </c>
      <c r="C155" s="148" t="e">
        <f ca="1">OFFSET('自動車台帳'!E156,'自動車台帳'!$AP156,0)</f>
        <v>#N/A</v>
      </c>
      <c r="D155" s="148" t="e">
        <f ca="1">OFFSET('自動車台帳'!F156,'自動車台帳'!$AP156,0)</f>
        <v>#N/A</v>
      </c>
      <c r="E155" s="149" t="e">
        <f ca="1">OFFSET('自動車台帳'!G156,'自動車台帳'!$AP156,0)</f>
        <v>#N/A</v>
      </c>
      <c r="F155" s="150" t="e">
        <f ca="1">OFFSET('自動車台帳'!H156,'自動車台帳'!$AP156,0)</f>
        <v>#N/A</v>
      </c>
      <c r="G155" s="148" t="e">
        <f ca="1">OFFSET('自動車台帳'!I156,'自動車台帳'!$AP156,0)</f>
        <v>#N/A</v>
      </c>
      <c r="H155" s="148" t="e">
        <f ca="1">OFFSET('自動車台帳'!J156,'自動車台帳'!$AP156,0)</f>
        <v>#N/A</v>
      </c>
      <c r="I155" s="149" t="e">
        <f ca="1">OFFSET('自動車台帳'!K156,'自動車台帳'!$AP156,0)</f>
        <v>#N/A</v>
      </c>
      <c r="J155" s="151" t="e">
        <f ca="1">OFFSET('自動車台帳'!L156,'自動車台帳'!$AP156,0)</f>
        <v>#N/A</v>
      </c>
      <c r="K155" s="152" t="e">
        <f ca="1">OFFSET('自動車台帳'!M156,'自動車台帳'!$AP156,0)</f>
        <v>#N/A</v>
      </c>
      <c r="L155" s="152" t="e">
        <f ca="1">OFFSET('自動車台帳'!N156,'自動車台帳'!$AP156,0)</f>
        <v>#N/A</v>
      </c>
      <c r="M155" s="148" t="e">
        <f ca="1">OFFSET('自動車台帳'!AB156,'自動車台帳'!$AP156,0)</f>
        <v>#N/A</v>
      </c>
      <c r="N155" s="148" t="e">
        <f ca="1">OFFSET('自動車台帳'!AC156,'自動車台帳'!$AP156,0)</f>
        <v>#N/A</v>
      </c>
      <c r="O155" s="153" t="e">
        <f ca="1">OFFSET('自動車台帳'!AD156,'自動車台帳'!$AP156,0)</f>
        <v>#N/A</v>
      </c>
      <c r="P155" s="154" t="e">
        <f ca="1">OFFSET('自動車台帳'!AE156,'自動車台帳'!$AP156,0)</f>
        <v>#N/A</v>
      </c>
      <c r="Q155" s="154" t="e">
        <f ca="1">OFFSET('自動車台帳'!AF156,'自動車台帳'!$AP156,0)</f>
        <v>#N/A</v>
      </c>
    </row>
    <row r="156" spans="1:17" ht="13.5">
      <c r="A156" s="148" t="e">
        <f ca="1">OFFSET('自動車台帳'!C157,'自動車台帳'!$AP157,0)</f>
        <v>#N/A</v>
      </c>
      <c r="B156" s="148" t="e">
        <f ca="1">OFFSET('自動車台帳'!D157,'自動車台帳'!$AP157,0)</f>
        <v>#N/A</v>
      </c>
      <c r="C156" s="148" t="e">
        <f ca="1">OFFSET('自動車台帳'!E157,'自動車台帳'!$AP157,0)</f>
        <v>#N/A</v>
      </c>
      <c r="D156" s="148" t="e">
        <f ca="1">OFFSET('自動車台帳'!F157,'自動車台帳'!$AP157,0)</f>
        <v>#N/A</v>
      </c>
      <c r="E156" s="149" t="e">
        <f ca="1">OFFSET('自動車台帳'!G157,'自動車台帳'!$AP157,0)</f>
        <v>#N/A</v>
      </c>
      <c r="F156" s="150" t="e">
        <f ca="1">OFFSET('自動車台帳'!H157,'自動車台帳'!$AP157,0)</f>
        <v>#N/A</v>
      </c>
      <c r="G156" s="148" t="e">
        <f ca="1">OFFSET('自動車台帳'!I157,'自動車台帳'!$AP157,0)</f>
        <v>#N/A</v>
      </c>
      <c r="H156" s="148" t="e">
        <f ca="1">OFFSET('自動車台帳'!J157,'自動車台帳'!$AP157,0)</f>
        <v>#N/A</v>
      </c>
      <c r="I156" s="149" t="e">
        <f ca="1">OFFSET('自動車台帳'!K157,'自動車台帳'!$AP157,0)</f>
        <v>#N/A</v>
      </c>
      <c r="J156" s="151" t="e">
        <f ca="1">OFFSET('自動車台帳'!L157,'自動車台帳'!$AP157,0)</f>
        <v>#N/A</v>
      </c>
      <c r="K156" s="152" t="e">
        <f ca="1">OFFSET('自動車台帳'!M157,'自動車台帳'!$AP157,0)</f>
        <v>#N/A</v>
      </c>
      <c r="L156" s="152" t="e">
        <f ca="1">OFFSET('自動車台帳'!N157,'自動車台帳'!$AP157,0)</f>
        <v>#N/A</v>
      </c>
      <c r="M156" s="148" t="e">
        <f ca="1">OFFSET('自動車台帳'!AB157,'自動車台帳'!$AP157,0)</f>
        <v>#N/A</v>
      </c>
      <c r="N156" s="148" t="e">
        <f ca="1">OFFSET('自動車台帳'!AC157,'自動車台帳'!$AP157,0)</f>
        <v>#N/A</v>
      </c>
      <c r="O156" s="153" t="e">
        <f ca="1">OFFSET('自動車台帳'!AD157,'自動車台帳'!$AP157,0)</f>
        <v>#N/A</v>
      </c>
      <c r="P156" s="154" t="e">
        <f ca="1">OFFSET('自動車台帳'!AE157,'自動車台帳'!$AP157,0)</f>
        <v>#N/A</v>
      </c>
      <c r="Q156" s="154" t="e">
        <f ca="1">OFFSET('自動車台帳'!AF157,'自動車台帳'!$AP157,0)</f>
        <v>#N/A</v>
      </c>
    </row>
    <row r="157" spans="1:17" ht="13.5">
      <c r="A157" s="148" t="e">
        <f ca="1">OFFSET('自動車台帳'!C158,'自動車台帳'!$AP158,0)</f>
        <v>#N/A</v>
      </c>
      <c r="B157" s="148" t="e">
        <f ca="1">OFFSET('自動車台帳'!D158,'自動車台帳'!$AP158,0)</f>
        <v>#N/A</v>
      </c>
      <c r="C157" s="148" t="e">
        <f ca="1">OFFSET('自動車台帳'!E158,'自動車台帳'!$AP158,0)</f>
        <v>#N/A</v>
      </c>
      <c r="D157" s="148" t="e">
        <f ca="1">OFFSET('自動車台帳'!F158,'自動車台帳'!$AP158,0)</f>
        <v>#N/A</v>
      </c>
      <c r="E157" s="149" t="e">
        <f ca="1">OFFSET('自動車台帳'!G158,'自動車台帳'!$AP158,0)</f>
        <v>#N/A</v>
      </c>
      <c r="F157" s="150" t="e">
        <f ca="1">OFFSET('自動車台帳'!H158,'自動車台帳'!$AP158,0)</f>
        <v>#N/A</v>
      </c>
      <c r="G157" s="148" t="e">
        <f ca="1">OFFSET('自動車台帳'!I158,'自動車台帳'!$AP158,0)</f>
        <v>#N/A</v>
      </c>
      <c r="H157" s="148" t="e">
        <f ca="1">OFFSET('自動車台帳'!J158,'自動車台帳'!$AP158,0)</f>
        <v>#N/A</v>
      </c>
      <c r="I157" s="149" t="e">
        <f ca="1">OFFSET('自動車台帳'!K158,'自動車台帳'!$AP158,0)</f>
        <v>#N/A</v>
      </c>
      <c r="J157" s="151" t="e">
        <f ca="1">OFFSET('自動車台帳'!L158,'自動車台帳'!$AP158,0)</f>
        <v>#N/A</v>
      </c>
      <c r="K157" s="152" t="e">
        <f ca="1">OFFSET('自動車台帳'!M158,'自動車台帳'!$AP158,0)</f>
        <v>#N/A</v>
      </c>
      <c r="L157" s="152" t="e">
        <f ca="1">OFFSET('自動車台帳'!N158,'自動車台帳'!$AP158,0)</f>
        <v>#N/A</v>
      </c>
      <c r="M157" s="148" t="e">
        <f ca="1">OFFSET('自動車台帳'!AB158,'自動車台帳'!$AP158,0)</f>
        <v>#N/A</v>
      </c>
      <c r="N157" s="148" t="e">
        <f ca="1">OFFSET('自動車台帳'!AC158,'自動車台帳'!$AP158,0)</f>
        <v>#N/A</v>
      </c>
      <c r="O157" s="153" t="e">
        <f ca="1">OFFSET('自動車台帳'!AD158,'自動車台帳'!$AP158,0)</f>
        <v>#N/A</v>
      </c>
      <c r="P157" s="154" t="e">
        <f ca="1">OFFSET('自動車台帳'!AE158,'自動車台帳'!$AP158,0)</f>
        <v>#N/A</v>
      </c>
      <c r="Q157" s="154" t="e">
        <f ca="1">OFFSET('自動車台帳'!AF158,'自動車台帳'!$AP158,0)</f>
        <v>#N/A</v>
      </c>
    </row>
    <row r="158" spans="1:17" ht="13.5">
      <c r="A158" s="148" t="e">
        <f ca="1">OFFSET('自動車台帳'!C159,'自動車台帳'!$AP159,0)</f>
        <v>#N/A</v>
      </c>
      <c r="B158" s="148" t="e">
        <f ca="1">OFFSET('自動車台帳'!D159,'自動車台帳'!$AP159,0)</f>
        <v>#N/A</v>
      </c>
      <c r="C158" s="148" t="e">
        <f ca="1">OFFSET('自動車台帳'!E159,'自動車台帳'!$AP159,0)</f>
        <v>#N/A</v>
      </c>
      <c r="D158" s="148" t="e">
        <f ca="1">OFFSET('自動車台帳'!F159,'自動車台帳'!$AP159,0)</f>
        <v>#N/A</v>
      </c>
      <c r="E158" s="149" t="e">
        <f ca="1">OFFSET('自動車台帳'!G159,'自動車台帳'!$AP159,0)</f>
        <v>#N/A</v>
      </c>
      <c r="F158" s="150" t="e">
        <f ca="1">OFFSET('自動車台帳'!H159,'自動車台帳'!$AP159,0)</f>
        <v>#N/A</v>
      </c>
      <c r="G158" s="148" t="e">
        <f ca="1">OFFSET('自動車台帳'!I159,'自動車台帳'!$AP159,0)</f>
        <v>#N/A</v>
      </c>
      <c r="H158" s="148" t="e">
        <f ca="1">OFFSET('自動車台帳'!J159,'自動車台帳'!$AP159,0)</f>
        <v>#N/A</v>
      </c>
      <c r="I158" s="149" t="e">
        <f ca="1">OFFSET('自動車台帳'!K159,'自動車台帳'!$AP159,0)</f>
        <v>#N/A</v>
      </c>
      <c r="J158" s="151" t="e">
        <f ca="1">OFFSET('自動車台帳'!L159,'自動車台帳'!$AP159,0)</f>
        <v>#N/A</v>
      </c>
      <c r="K158" s="152" t="e">
        <f ca="1">OFFSET('自動車台帳'!M159,'自動車台帳'!$AP159,0)</f>
        <v>#N/A</v>
      </c>
      <c r="L158" s="152" t="e">
        <f ca="1">OFFSET('自動車台帳'!N159,'自動車台帳'!$AP159,0)</f>
        <v>#N/A</v>
      </c>
      <c r="M158" s="148" t="e">
        <f ca="1">OFFSET('自動車台帳'!AB159,'自動車台帳'!$AP159,0)</f>
        <v>#N/A</v>
      </c>
      <c r="N158" s="148" t="e">
        <f ca="1">OFFSET('自動車台帳'!AC159,'自動車台帳'!$AP159,0)</f>
        <v>#N/A</v>
      </c>
      <c r="O158" s="153" t="e">
        <f ca="1">OFFSET('自動車台帳'!AD159,'自動車台帳'!$AP159,0)</f>
        <v>#N/A</v>
      </c>
      <c r="P158" s="154" t="e">
        <f ca="1">OFFSET('自動車台帳'!AE159,'自動車台帳'!$AP159,0)</f>
        <v>#N/A</v>
      </c>
      <c r="Q158" s="154" t="e">
        <f ca="1">OFFSET('自動車台帳'!AF159,'自動車台帳'!$AP159,0)</f>
        <v>#N/A</v>
      </c>
    </row>
    <row r="159" spans="1:17" ht="13.5">
      <c r="A159" s="148" t="e">
        <f ca="1">OFFSET('自動車台帳'!C160,'自動車台帳'!$AP160,0)</f>
        <v>#N/A</v>
      </c>
      <c r="B159" s="148" t="e">
        <f ca="1">OFFSET('自動車台帳'!D160,'自動車台帳'!$AP160,0)</f>
        <v>#N/A</v>
      </c>
      <c r="C159" s="148" t="e">
        <f ca="1">OFFSET('自動車台帳'!E160,'自動車台帳'!$AP160,0)</f>
        <v>#N/A</v>
      </c>
      <c r="D159" s="148" t="e">
        <f ca="1">OFFSET('自動車台帳'!F160,'自動車台帳'!$AP160,0)</f>
        <v>#N/A</v>
      </c>
      <c r="E159" s="149" t="e">
        <f ca="1">OFFSET('自動車台帳'!G160,'自動車台帳'!$AP160,0)</f>
        <v>#N/A</v>
      </c>
      <c r="F159" s="150" t="e">
        <f ca="1">OFFSET('自動車台帳'!H160,'自動車台帳'!$AP160,0)</f>
        <v>#N/A</v>
      </c>
      <c r="G159" s="148" t="e">
        <f ca="1">OFFSET('自動車台帳'!I160,'自動車台帳'!$AP160,0)</f>
        <v>#N/A</v>
      </c>
      <c r="H159" s="148" t="e">
        <f ca="1">OFFSET('自動車台帳'!J160,'自動車台帳'!$AP160,0)</f>
        <v>#N/A</v>
      </c>
      <c r="I159" s="149" t="e">
        <f ca="1">OFFSET('自動車台帳'!K160,'自動車台帳'!$AP160,0)</f>
        <v>#N/A</v>
      </c>
      <c r="J159" s="151" t="e">
        <f ca="1">OFFSET('自動車台帳'!L160,'自動車台帳'!$AP160,0)</f>
        <v>#N/A</v>
      </c>
      <c r="K159" s="152" t="e">
        <f ca="1">OFFSET('自動車台帳'!M160,'自動車台帳'!$AP160,0)</f>
        <v>#N/A</v>
      </c>
      <c r="L159" s="152" t="e">
        <f ca="1">OFFSET('自動車台帳'!N160,'自動車台帳'!$AP160,0)</f>
        <v>#N/A</v>
      </c>
      <c r="M159" s="148" t="e">
        <f ca="1">OFFSET('自動車台帳'!AB160,'自動車台帳'!$AP160,0)</f>
        <v>#N/A</v>
      </c>
      <c r="N159" s="148" t="e">
        <f ca="1">OFFSET('自動車台帳'!AC160,'自動車台帳'!$AP160,0)</f>
        <v>#N/A</v>
      </c>
      <c r="O159" s="153" t="e">
        <f ca="1">OFFSET('自動車台帳'!AD160,'自動車台帳'!$AP160,0)</f>
        <v>#N/A</v>
      </c>
      <c r="P159" s="154" t="e">
        <f ca="1">OFFSET('自動車台帳'!AE160,'自動車台帳'!$AP160,0)</f>
        <v>#N/A</v>
      </c>
      <c r="Q159" s="154" t="e">
        <f ca="1">OFFSET('自動車台帳'!AF160,'自動車台帳'!$AP160,0)</f>
        <v>#N/A</v>
      </c>
    </row>
    <row r="160" spans="1:17" ht="13.5">
      <c r="A160" s="148" t="e">
        <f ca="1">OFFSET('自動車台帳'!C161,'自動車台帳'!$AP161,0)</f>
        <v>#N/A</v>
      </c>
      <c r="B160" s="148" t="e">
        <f ca="1">OFFSET('自動車台帳'!D161,'自動車台帳'!$AP161,0)</f>
        <v>#N/A</v>
      </c>
      <c r="C160" s="148" t="e">
        <f ca="1">OFFSET('自動車台帳'!E161,'自動車台帳'!$AP161,0)</f>
        <v>#N/A</v>
      </c>
      <c r="D160" s="148" t="e">
        <f ca="1">OFFSET('自動車台帳'!F161,'自動車台帳'!$AP161,0)</f>
        <v>#N/A</v>
      </c>
      <c r="E160" s="149" t="e">
        <f ca="1">OFFSET('自動車台帳'!G161,'自動車台帳'!$AP161,0)</f>
        <v>#N/A</v>
      </c>
      <c r="F160" s="150" t="e">
        <f ca="1">OFFSET('自動車台帳'!H161,'自動車台帳'!$AP161,0)</f>
        <v>#N/A</v>
      </c>
      <c r="G160" s="148" t="e">
        <f ca="1">OFFSET('自動車台帳'!I161,'自動車台帳'!$AP161,0)</f>
        <v>#N/A</v>
      </c>
      <c r="H160" s="148" t="e">
        <f ca="1">OFFSET('自動車台帳'!J161,'自動車台帳'!$AP161,0)</f>
        <v>#N/A</v>
      </c>
      <c r="I160" s="149" t="e">
        <f ca="1">OFFSET('自動車台帳'!K161,'自動車台帳'!$AP161,0)</f>
        <v>#N/A</v>
      </c>
      <c r="J160" s="151" t="e">
        <f ca="1">OFFSET('自動車台帳'!L161,'自動車台帳'!$AP161,0)</f>
        <v>#N/A</v>
      </c>
      <c r="K160" s="152" t="e">
        <f ca="1">OFFSET('自動車台帳'!M161,'自動車台帳'!$AP161,0)</f>
        <v>#N/A</v>
      </c>
      <c r="L160" s="152" t="e">
        <f ca="1">OFFSET('自動車台帳'!N161,'自動車台帳'!$AP161,0)</f>
        <v>#N/A</v>
      </c>
      <c r="M160" s="148" t="e">
        <f ca="1">OFFSET('自動車台帳'!AB161,'自動車台帳'!$AP161,0)</f>
        <v>#N/A</v>
      </c>
      <c r="N160" s="148" t="e">
        <f ca="1">OFFSET('自動車台帳'!AC161,'自動車台帳'!$AP161,0)</f>
        <v>#N/A</v>
      </c>
      <c r="O160" s="153" t="e">
        <f ca="1">OFFSET('自動車台帳'!AD161,'自動車台帳'!$AP161,0)</f>
        <v>#N/A</v>
      </c>
      <c r="P160" s="154" t="e">
        <f ca="1">OFFSET('自動車台帳'!AE161,'自動車台帳'!$AP161,0)</f>
        <v>#N/A</v>
      </c>
      <c r="Q160" s="154" t="e">
        <f ca="1">OFFSET('自動車台帳'!AF161,'自動車台帳'!$AP161,0)</f>
        <v>#N/A</v>
      </c>
    </row>
    <row r="161" spans="1:17" ht="13.5">
      <c r="A161" s="148" t="e">
        <f ca="1">OFFSET('自動車台帳'!C162,'自動車台帳'!$AP162,0)</f>
        <v>#N/A</v>
      </c>
      <c r="B161" s="148" t="e">
        <f ca="1">OFFSET('自動車台帳'!D162,'自動車台帳'!$AP162,0)</f>
        <v>#N/A</v>
      </c>
      <c r="C161" s="148" t="e">
        <f ca="1">OFFSET('自動車台帳'!E162,'自動車台帳'!$AP162,0)</f>
        <v>#N/A</v>
      </c>
      <c r="D161" s="148" t="e">
        <f ca="1">OFFSET('自動車台帳'!F162,'自動車台帳'!$AP162,0)</f>
        <v>#N/A</v>
      </c>
      <c r="E161" s="149" t="e">
        <f ca="1">OFFSET('自動車台帳'!G162,'自動車台帳'!$AP162,0)</f>
        <v>#N/A</v>
      </c>
      <c r="F161" s="150" t="e">
        <f ca="1">OFFSET('自動車台帳'!H162,'自動車台帳'!$AP162,0)</f>
        <v>#N/A</v>
      </c>
      <c r="G161" s="148" t="e">
        <f ca="1">OFFSET('自動車台帳'!I162,'自動車台帳'!$AP162,0)</f>
        <v>#N/A</v>
      </c>
      <c r="H161" s="148" t="e">
        <f ca="1">OFFSET('自動車台帳'!J162,'自動車台帳'!$AP162,0)</f>
        <v>#N/A</v>
      </c>
      <c r="I161" s="149" t="e">
        <f ca="1">OFFSET('自動車台帳'!K162,'自動車台帳'!$AP162,0)</f>
        <v>#N/A</v>
      </c>
      <c r="J161" s="151" t="e">
        <f ca="1">OFFSET('自動車台帳'!L162,'自動車台帳'!$AP162,0)</f>
        <v>#N/A</v>
      </c>
      <c r="K161" s="152" t="e">
        <f ca="1">OFFSET('自動車台帳'!M162,'自動車台帳'!$AP162,0)</f>
        <v>#N/A</v>
      </c>
      <c r="L161" s="152" t="e">
        <f ca="1">OFFSET('自動車台帳'!N162,'自動車台帳'!$AP162,0)</f>
        <v>#N/A</v>
      </c>
      <c r="M161" s="148" t="e">
        <f ca="1">OFFSET('自動車台帳'!AB162,'自動車台帳'!$AP162,0)</f>
        <v>#N/A</v>
      </c>
      <c r="N161" s="148" t="e">
        <f ca="1">OFFSET('自動車台帳'!AC162,'自動車台帳'!$AP162,0)</f>
        <v>#N/A</v>
      </c>
      <c r="O161" s="153" t="e">
        <f ca="1">OFFSET('自動車台帳'!AD162,'自動車台帳'!$AP162,0)</f>
        <v>#N/A</v>
      </c>
      <c r="P161" s="154" t="e">
        <f ca="1">OFFSET('自動車台帳'!AE162,'自動車台帳'!$AP162,0)</f>
        <v>#N/A</v>
      </c>
      <c r="Q161" s="154" t="e">
        <f ca="1">OFFSET('自動車台帳'!AF162,'自動車台帳'!$AP162,0)</f>
        <v>#N/A</v>
      </c>
    </row>
    <row r="162" spans="1:17" ht="13.5">
      <c r="A162" s="148" t="e">
        <f ca="1">OFFSET('自動車台帳'!C163,'自動車台帳'!$AP163,0)</f>
        <v>#N/A</v>
      </c>
      <c r="B162" s="148" t="e">
        <f ca="1">OFFSET('自動車台帳'!D163,'自動車台帳'!$AP163,0)</f>
        <v>#N/A</v>
      </c>
      <c r="C162" s="148" t="e">
        <f ca="1">OFFSET('自動車台帳'!E163,'自動車台帳'!$AP163,0)</f>
        <v>#N/A</v>
      </c>
      <c r="D162" s="148" t="e">
        <f ca="1">OFFSET('自動車台帳'!F163,'自動車台帳'!$AP163,0)</f>
        <v>#N/A</v>
      </c>
      <c r="E162" s="149" t="e">
        <f ca="1">OFFSET('自動車台帳'!G163,'自動車台帳'!$AP163,0)</f>
        <v>#N/A</v>
      </c>
      <c r="F162" s="150" t="e">
        <f ca="1">OFFSET('自動車台帳'!H163,'自動車台帳'!$AP163,0)</f>
        <v>#N/A</v>
      </c>
      <c r="G162" s="148" t="e">
        <f ca="1">OFFSET('自動車台帳'!I163,'自動車台帳'!$AP163,0)</f>
        <v>#N/A</v>
      </c>
      <c r="H162" s="148" t="e">
        <f ca="1">OFFSET('自動車台帳'!J163,'自動車台帳'!$AP163,0)</f>
        <v>#N/A</v>
      </c>
      <c r="I162" s="149" t="e">
        <f ca="1">OFFSET('自動車台帳'!K163,'自動車台帳'!$AP163,0)</f>
        <v>#N/A</v>
      </c>
      <c r="J162" s="151" t="e">
        <f ca="1">OFFSET('自動車台帳'!L163,'自動車台帳'!$AP163,0)</f>
        <v>#N/A</v>
      </c>
      <c r="K162" s="152" t="e">
        <f ca="1">OFFSET('自動車台帳'!M163,'自動車台帳'!$AP163,0)</f>
        <v>#N/A</v>
      </c>
      <c r="L162" s="152" t="e">
        <f ca="1">OFFSET('自動車台帳'!N163,'自動車台帳'!$AP163,0)</f>
        <v>#N/A</v>
      </c>
      <c r="M162" s="148" t="e">
        <f ca="1">OFFSET('自動車台帳'!AB163,'自動車台帳'!$AP163,0)</f>
        <v>#N/A</v>
      </c>
      <c r="N162" s="148" t="e">
        <f ca="1">OFFSET('自動車台帳'!AC163,'自動車台帳'!$AP163,0)</f>
        <v>#N/A</v>
      </c>
      <c r="O162" s="153" t="e">
        <f ca="1">OFFSET('自動車台帳'!AD163,'自動車台帳'!$AP163,0)</f>
        <v>#N/A</v>
      </c>
      <c r="P162" s="154" t="e">
        <f ca="1">OFFSET('自動車台帳'!AE163,'自動車台帳'!$AP163,0)</f>
        <v>#N/A</v>
      </c>
      <c r="Q162" s="154" t="e">
        <f ca="1">OFFSET('自動車台帳'!AF163,'自動車台帳'!$AP163,0)</f>
        <v>#N/A</v>
      </c>
    </row>
    <row r="163" spans="1:17" ht="13.5">
      <c r="A163" s="148" t="e">
        <f ca="1">OFFSET('自動車台帳'!C164,'自動車台帳'!$AP164,0)</f>
        <v>#N/A</v>
      </c>
      <c r="B163" s="148" t="e">
        <f ca="1">OFFSET('自動車台帳'!D164,'自動車台帳'!$AP164,0)</f>
        <v>#N/A</v>
      </c>
      <c r="C163" s="148" t="e">
        <f ca="1">OFFSET('自動車台帳'!E164,'自動車台帳'!$AP164,0)</f>
        <v>#N/A</v>
      </c>
      <c r="D163" s="148" t="e">
        <f ca="1">OFFSET('自動車台帳'!F164,'自動車台帳'!$AP164,0)</f>
        <v>#N/A</v>
      </c>
      <c r="E163" s="149" t="e">
        <f ca="1">OFFSET('自動車台帳'!G164,'自動車台帳'!$AP164,0)</f>
        <v>#N/A</v>
      </c>
      <c r="F163" s="150" t="e">
        <f ca="1">OFFSET('自動車台帳'!H164,'自動車台帳'!$AP164,0)</f>
        <v>#N/A</v>
      </c>
      <c r="G163" s="148" t="e">
        <f ca="1">OFFSET('自動車台帳'!I164,'自動車台帳'!$AP164,0)</f>
        <v>#N/A</v>
      </c>
      <c r="H163" s="148" t="e">
        <f ca="1">OFFSET('自動車台帳'!J164,'自動車台帳'!$AP164,0)</f>
        <v>#N/A</v>
      </c>
      <c r="I163" s="149" t="e">
        <f ca="1">OFFSET('自動車台帳'!K164,'自動車台帳'!$AP164,0)</f>
        <v>#N/A</v>
      </c>
      <c r="J163" s="151" t="e">
        <f ca="1">OFFSET('自動車台帳'!L164,'自動車台帳'!$AP164,0)</f>
        <v>#N/A</v>
      </c>
      <c r="K163" s="152" t="e">
        <f ca="1">OFFSET('自動車台帳'!M164,'自動車台帳'!$AP164,0)</f>
        <v>#N/A</v>
      </c>
      <c r="L163" s="152" t="e">
        <f ca="1">OFFSET('自動車台帳'!N164,'自動車台帳'!$AP164,0)</f>
        <v>#N/A</v>
      </c>
      <c r="M163" s="148" t="e">
        <f ca="1">OFFSET('自動車台帳'!AB164,'自動車台帳'!$AP164,0)</f>
        <v>#N/A</v>
      </c>
      <c r="N163" s="148" t="e">
        <f ca="1">OFFSET('自動車台帳'!AC164,'自動車台帳'!$AP164,0)</f>
        <v>#N/A</v>
      </c>
      <c r="O163" s="153" t="e">
        <f ca="1">OFFSET('自動車台帳'!AD164,'自動車台帳'!$AP164,0)</f>
        <v>#N/A</v>
      </c>
      <c r="P163" s="154" t="e">
        <f ca="1">OFFSET('自動車台帳'!AE164,'自動車台帳'!$AP164,0)</f>
        <v>#N/A</v>
      </c>
      <c r="Q163" s="154" t="e">
        <f ca="1">OFFSET('自動車台帳'!AF164,'自動車台帳'!$AP164,0)</f>
        <v>#N/A</v>
      </c>
    </row>
    <row r="164" spans="1:17" ht="13.5">
      <c r="A164" s="148" t="e">
        <f ca="1">OFFSET('自動車台帳'!C165,'自動車台帳'!$AP165,0)</f>
        <v>#N/A</v>
      </c>
      <c r="B164" s="148" t="e">
        <f ca="1">OFFSET('自動車台帳'!D165,'自動車台帳'!$AP165,0)</f>
        <v>#N/A</v>
      </c>
      <c r="C164" s="148" t="e">
        <f ca="1">OFFSET('自動車台帳'!E165,'自動車台帳'!$AP165,0)</f>
        <v>#N/A</v>
      </c>
      <c r="D164" s="148" t="e">
        <f ca="1">OFFSET('自動車台帳'!F165,'自動車台帳'!$AP165,0)</f>
        <v>#N/A</v>
      </c>
      <c r="E164" s="149" t="e">
        <f ca="1">OFFSET('自動車台帳'!G165,'自動車台帳'!$AP165,0)</f>
        <v>#N/A</v>
      </c>
      <c r="F164" s="150" t="e">
        <f ca="1">OFFSET('自動車台帳'!H165,'自動車台帳'!$AP165,0)</f>
        <v>#N/A</v>
      </c>
      <c r="G164" s="148" t="e">
        <f ca="1">OFFSET('自動車台帳'!I165,'自動車台帳'!$AP165,0)</f>
        <v>#N/A</v>
      </c>
      <c r="H164" s="148" t="e">
        <f ca="1">OFFSET('自動車台帳'!J165,'自動車台帳'!$AP165,0)</f>
        <v>#N/A</v>
      </c>
      <c r="I164" s="149" t="e">
        <f ca="1">OFFSET('自動車台帳'!K165,'自動車台帳'!$AP165,0)</f>
        <v>#N/A</v>
      </c>
      <c r="J164" s="151" t="e">
        <f ca="1">OFFSET('自動車台帳'!L165,'自動車台帳'!$AP165,0)</f>
        <v>#N/A</v>
      </c>
      <c r="K164" s="152" t="e">
        <f ca="1">OFFSET('自動車台帳'!M165,'自動車台帳'!$AP165,0)</f>
        <v>#N/A</v>
      </c>
      <c r="L164" s="152" t="e">
        <f ca="1">OFFSET('自動車台帳'!N165,'自動車台帳'!$AP165,0)</f>
        <v>#N/A</v>
      </c>
      <c r="M164" s="148" t="e">
        <f ca="1">OFFSET('自動車台帳'!AB165,'自動車台帳'!$AP165,0)</f>
        <v>#N/A</v>
      </c>
      <c r="N164" s="148" t="e">
        <f ca="1">OFFSET('自動車台帳'!AC165,'自動車台帳'!$AP165,0)</f>
        <v>#N/A</v>
      </c>
      <c r="O164" s="153" t="e">
        <f ca="1">OFFSET('自動車台帳'!AD165,'自動車台帳'!$AP165,0)</f>
        <v>#N/A</v>
      </c>
      <c r="P164" s="154" t="e">
        <f ca="1">OFFSET('自動車台帳'!AE165,'自動車台帳'!$AP165,0)</f>
        <v>#N/A</v>
      </c>
      <c r="Q164" s="154" t="e">
        <f ca="1">OFFSET('自動車台帳'!AF165,'自動車台帳'!$AP165,0)</f>
        <v>#N/A</v>
      </c>
    </row>
    <row r="165" spans="1:17" ht="13.5">
      <c r="A165" s="148" t="e">
        <f ca="1">OFFSET('自動車台帳'!C166,'自動車台帳'!$AP166,0)</f>
        <v>#N/A</v>
      </c>
      <c r="B165" s="148" t="e">
        <f ca="1">OFFSET('自動車台帳'!D166,'自動車台帳'!$AP166,0)</f>
        <v>#N/A</v>
      </c>
      <c r="C165" s="148" t="e">
        <f ca="1">OFFSET('自動車台帳'!E166,'自動車台帳'!$AP166,0)</f>
        <v>#N/A</v>
      </c>
      <c r="D165" s="148" t="e">
        <f ca="1">OFFSET('自動車台帳'!F166,'自動車台帳'!$AP166,0)</f>
        <v>#N/A</v>
      </c>
      <c r="E165" s="149" t="e">
        <f ca="1">OFFSET('自動車台帳'!G166,'自動車台帳'!$AP166,0)</f>
        <v>#N/A</v>
      </c>
      <c r="F165" s="150" t="e">
        <f ca="1">OFFSET('自動車台帳'!H166,'自動車台帳'!$AP166,0)</f>
        <v>#N/A</v>
      </c>
      <c r="G165" s="148" t="e">
        <f ca="1">OFFSET('自動車台帳'!I166,'自動車台帳'!$AP166,0)</f>
        <v>#N/A</v>
      </c>
      <c r="H165" s="148" t="e">
        <f ca="1">OFFSET('自動車台帳'!J166,'自動車台帳'!$AP166,0)</f>
        <v>#N/A</v>
      </c>
      <c r="I165" s="149" t="e">
        <f ca="1">OFFSET('自動車台帳'!K166,'自動車台帳'!$AP166,0)</f>
        <v>#N/A</v>
      </c>
      <c r="J165" s="151" t="e">
        <f ca="1">OFFSET('自動車台帳'!L166,'自動車台帳'!$AP166,0)</f>
        <v>#N/A</v>
      </c>
      <c r="K165" s="152" t="e">
        <f ca="1">OFFSET('自動車台帳'!M166,'自動車台帳'!$AP166,0)</f>
        <v>#N/A</v>
      </c>
      <c r="L165" s="152" t="e">
        <f ca="1">OFFSET('自動車台帳'!N166,'自動車台帳'!$AP166,0)</f>
        <v>#N/A</v>
      </c>
      <c r="M165" s="148" t="e">
        <f ca="1">OFFSET('自動車台帳'!AB166,'自動車台帳'!$AP166,0)</f>
        <v>#N/A</v>
      </c>
      <c r="N165" s="148" t="e">
        <f ca="1">OFFSET('自動車台帳'!AC166,'自動車台帳'!$AP166,0)</f>
        <v>#N/A</v>
      </c>
      <c r="O165" s="153" t="e">
        <f ca="1">OFFSET('自動車台帳'!AD166,'自動車台帳'!$AP166,0)</f>
        <v>#N/A</v>
      </c>
      <c r="P165" s="154" t="e">
        <f ca="1">OFFSET('自動車台帳'!AE166,'自動車台帳'!$AP166,0)</f>
        <v>#N/A</v>
      </c>
      <c r="Q165" s="154" t="e">
        <f ca="1">OFFSET('自動車台帳'!AF166,'自動車台帳'!$AP166,0)</f>
        <v>#N/A</v>
      </c>
    </row>
    <row r="166" spans="1:17" ht="13.5">
      <c r="A166" s="148" t="e">
        <f ca="1">OFFSET('自動車台帳'!C167,'自動車台帳'!$AP167,0)</f>
        <v>#N/A</v>
      </c>
      <c r="B166" s="148" t="e">
        <f ca="1">OFFSET('自動車台帳'!D167,'自動車台帳'!$AP167,0)</f>
        <v>#N/A</v>
      </c>
      <c r="C166" s="148" t="e">
        <f ca="1">OFFSET('自動車台帳'!E167,'自動車台帳'!$AP167,0)</f>
        <v>#N/A</v>
      </c>
      <c r="D166" s="148" t="e">
        <f ca="1">OFFSET('自動車台帳'!F167,'自動車台帳'!$AP167,0)</f>
        <v>#N/A</v>
      </c>
      <c r="E166" s="149" t="e">
        <f ca="1">OFFSET('自動車台帳'!G167,'自動車台帳'!$AP167,0)</f>
        <v>#N/A</v>
      </c>
      <c r="F166" s="150" t="e">
        <f ca="1">OFFSET('自動車台帳'!H167,'自動車台帳'!$AP167,0)</f>
        <v>#N/A</v>
      </c>
      <c r="G166" s="148" t="e">
        <f ca="1">OFFSET('自動車台帳'!I167,'自動車台帳'!$AP167,0)</f>
        <v>#N/A</v>
      </c>
      <c r="H166" s="148" t="e">
        <f ca="1">OFFSET('自動車台帳'!J167,'自動車台帳'!$AP167,0)</f>
        <v>#N/A</v>
      </c>
      <c r="I166" s="149" t="e">
        <f ca="1">OFFSET('自動車台帳'!K167,'自動車台帳'!$AP167,0)</f>
        <v>#N/A</v>
      </c>
      <c r="J166" s="151" t="e">
        <f ca="1">OFFSET('自動車台帳'!L167,'自動車台帳'!$AP167,0)</f>
        <v>#N/A</v>
      </c>
      <c r="K166" s="152" t="e">
        <f ca="1">OFFSET('自動車台帳'!M167,'自動車台帳'!$AP167,0)</f>
        <v>#N/A</v>
      </c>
      <c r="L166" s="152" t="e">
        <f ca="1">OFFSET('自動車台帳'!N167,'自動車台帳'!$AP167,0)</f>
        <v>#N/A</v>
      </c>
      <c r="M166" s="148" t="e">
        <f ca="1">OFFSET('自動車台帳'!AB167,'自動車台帳'!$AP167,0)</f>
        <v>#N/A</v>
      </c>
      <c r="N166" s="148" t="e">
        <f ca="1">OFFSET('自動車台帳'!AC167,'自動車台帳'!$AP167,0)</f>
        <v>#N/A</v>
      </c>
      <c r="O166" s="153" t="e">
        <f ca="1">OFFSET('自動車台帳'!AD167,'自動車台帳'!$AP167,0)</f>
        <v>#N/A</v>
      </c>
      <c r="P166" s="154" t="e">
        <f ca="1">OFFSET('自動車台帳'!AE167,'自動車台帳'!$AP167,0)</f>
        <v>#N/A</v>
      </c>
      <c r="Q166" s="154" t="e">
        <f ca="1">OFFSET('自動車台帳'!AF167,'自動車台帳'!$AP167,0)</f>
        <v>#N/A</v>
      </c>
    </row>
    <row r="167" spans="1:17" ht="13.5">
      <c r="A167" s="148" t="e">
        <f ca="1">OFFSET('自動車台帳'!C168,'自動車台帳'!$AP168,0)</f>
        <v>#N/A</v>
      </c>
      <c r="B167" s="148" t="e">
        <f ca="1">OFFSET('自動車台帳'!D168,'自動車台帳'!$AP168,0)</f>
        <v>#N/A</v>
      </c>
      <c r="C167" s="148" t="e">
        <f ca="1">OFFSET('自動車台帳'!E168,'自動車台帳'!$AP168,0)</f>
        <v>#N/A</v>
      </c>
      <c r="D167" s="148" t="e">
        <f ca="1">OFFSET('自動車台帳'!F168,'自動車台帳'!$AP168,0)</f>
        <v>#N/A</v>
      </c>
      <c r="E167" s="149" t="e">
        <f ca="1">OFFSET('自動車台帳'!G168,'自動車台帳'!$AP168,0)</f>
        <v>#N/A</v>
      </c>
      <c r="F167" s="150" t="e">
        <f ca="1">OFFSET('自動車台帳'!H168,'自動車台帳'!$AP168,0)</f>
        <v>#N/A</v>
      </c>
      <c r="G167" s="148" t="e">
        <f ca="1">OFFSET('自動車台帳'!I168,'自動車台帳'!$AP168,0)</f>
        <v>#N/A</v>
      </c>
      <c r="H167" s="148" t="e">
        <f ca="1">OFFSET('自動車台帳'!J168,'自動車台帳'!$AP168,0)</f>
        <v>#N/A</v>
      </c>
      <c r="I167" s="149" t="e">
        <f ca="1">OFFSET('自動車台帳'!K168,'自動車台帳'!$AP168,0)</f>
        <v>#N/A</v>
      </c>
      <c r="J167" s="151" t="e">
        <f ca="1">OFFSET('自動車台帳'!L168,'自動車台帳'!$AP168,0)</f>
        <v>#N/A</v>
      </c>
      <c r="K167" s="152" t="e">
        <f ca="1">OFFSET('自動車台帳'!M168,'自動車台帳'!$AP168,0)</f>
        <v>#N/A</v>
      </c>
      <c r="L167" s="152" t="e">
        <f ca="1">OFFSET('自動車台帳'!N168,'自動車台帳'!$AP168,0)</f>
        <v>#N/A</v>
      </c>
      <c r="M167" s="148" t="e">
        <f ca="1">OFFSET('自動車台帳'!AB168,'自動車台帳'!$AP168,0)</f>
        <v>#N/A</v>
      </c>
      <c r="N167" s="148" t="e">
        <f ca="1">OFFSET('自動車台帳'!AC168,'自動車台帳'!$AP168,0)</f>
        <v>#N/A</v>
      </c>
      <c r="O167" s="153" t="e">
        <f ca="1">OFFSET('自動車台帳'!AD168,'自動車台帳'!$AP168,0)</f>
        <v>#N/A</v>
      </c>
      <c r="P167" s="154" t="e">
        <f ca="1">OFFSET('自動車台帳'!AE168,'自動車台帳'!$AP168,0)</f>
        <v>#N/A</v>
      </c>
      <c r="Q167" s="154" t="e">
        <f ca="1">OFFSET('自動車台帳'!AF168,'自動車台帳'!$AP168,0)</f>
        <v>#N/A</v>
      </c>
    </row>
    <row r="168" spans="1:17" ht="13.5">
      <c r="A168" s="148" t="e">
        <f ca="1">OFFSET('自動車台帳'!C169,'自動車台帳'!$AP169,0)</f>
        <v>#N/A</v>
      </c>
      <c r="B168" s="148" t="e">
        <f ca="1">OFFSET('自動車台帳'!D169,'自動車台帳'!$AP169,0)</f>
        <v>#N/A</v>
      </c>
      <c r="C168" s="148" t="e">
        <f ca="1">OFFSET('自動車台帳'!E169,'自動車台帳'!$AP169,0)</f>
        <v>#N/A</v>
      </c>
      <c r="D168" s="148" t="e">
        <f ca="1">OFFSET('自動車台帳'!F169,'自動車台帳'!$AP169,0)</f>
        <v>#N/A</v>
      </c>
      <c r="E168" s="149" t="e">
        <f ca="1">OFFSET('自動車台帳'!G169,'自動車台帳'!$AP169,0)</f>
        <v>#N/A</v>
      </c>
      <c r="F168" s="150" t="e">
        <f ca="1">OFFSET('自動車台帳'!H169,'自動車台帳'!$AP169,0)</f>
        <v>#N/A</v>
      </c>
      <c r="G168" s="148" t="e">
        <f ca="1">OFFSET('自動車台帳'!I169,'自動車台帳'!$AP169,0)</f>
        <v>#N/A</v>
      </c>
      <c r="H168" s="148" t="e">
        <f ca="1">OFFSET('自動車台帳'!J169,'自動車台帳'!$AP169,0)</f>
        <v>#N/A</v>
      </c>
      <c r="I168" s="149" t="e">
        <f ca="1">OFFSET('自動車台帳'!K169,'自動車台帳'!$AP169,0)</f>
        <v>#N/A</v>
      </c>
      <c r="J168" s="151" t="e">
        <f ca="1">OFFSET('自動車台帳'!L169,'自動車台帳'!$AP169,0)</f>
        <v>#N/A</v>
      </c>
      <c r="K168" s="152" t="e">
        <f ca="1">OFFSET('自動車台帳'!M169,'自動車台帳'!$AP169,0)</f>
        <v>#N/A</v>
      </c>
      <c r="L168" s="152" t="e">
        <f ca="1">OFFSET('自動車台帳'!N169,'自動車台帳'!$AP169,0)</f>
        <v>#N/A</v>
      </c>
      <c r="M168" s="148" t="e">
        <f ca="1">OFFSET('自動車台帳'!AB169,'自動車台帳'!$AP169,0)</f>
        <v>#N/A</v>
      </c>
      <c r="N168" s="148" t="e">
        <f ca="1">OFFSET('自動車台帳'!AC169,'自動車台帳'!$AP169,0)</f>
        <v>#N/A</v>
      </c>
      <c r="O168" s="153" t="e">
        <f ca="1">OFFSET('自動車台帳'!AD169,'自動車台帳'!$AP169,0)</f>
        <v>#N/A</v>
      </c>
      <c r="P168" s="154" t="e">
        <f ca="1">OFFSET('自動車台帳'!AE169,'自動車台帳'!$AP169,0)</f>
        <v>#N/A</v>
      </c>
      <c r="Q168" s="154" t="e">
        <f ca="1">OFFSET('自動車台帳'!AF169,'自動車台帳'!$AP169,0)</f>
        <v>#N/A</v>
      </c>
    </row>
    <row r="169" spans="1:17" ht="13.5">
      <c r="A169" s="148" t="e">
        <f ca="1">OFFSET('自動車台帳'!C170,'自動車台帳'!$AP170,0)</f>
        <v>#N/A</v>
      </c>
      <c r="B169" s="148" t="e">
        <f ca="1">OFFSET('自動車台帳'!D170,'自動車台帳'!$AP170,0)</f>
        <v>#N/A</v>
      </c>
      <c r="C169" s="148" t="e">
        <f ca="1">OFFSET('自動車台帳'!E170,'自動車台帳'!$AP170,0)</f>
        <v>#N/A</v>
      </c>
      <c r="D169" s="148" t="e">
        <f ca="1">OFFSET('自動車台帳'!F170,'自動車台帳'!$AP170,0)</f>
        <v>#N/A</v>
      </c>
      <c r="E169" s="149" t="e">
        <f ca="1">OFFSET('自動車台帳'!G170,'自動車台帳'!$AP170,0)</f>
        <v>#N/A</v>
      </c>
      <c r="F169" s="150" t="e">
        <f ca="1">OFFSET('自動車台帳'!H170,'自動車台帳'!$AP170,0)</f>
        <v>#N/A</v>
      </c>
      <c r="G169" s="148" t="e">
        <f ca="1">OFFSET('自動車台帳'!I170,'自動車台帳'!$AP170,0)</f>
        <v>#N/A</v>
      </c>
      <c r="H169" s="148" t="e">
        <f ca="1">OFFSET('自動車台帳'!J170,'自動車台帳'!$AP170,0)</f>
        <v>#N/A</v>
      </c>
      <c r="I169" s="149" t="e">
        <f ca="1">OFFSET('自動車台帳'!K170,'自動車台帳'!$AP170,0)</f>
        <v>#N/A</v>
      </c>
      <c r="J169" s="151" t="e">
        <f ca="1">OFFSET('自動車台帳'!L170,'自動車台帳'!$AP170,0)</f>
        <v>#N/A</v>
      </c>
      <c r="K169" s="152" t="e">
        <f ca="1">OFFSET('自動車台帳'!M170,'自動車台帳'!$AP170,0)</f>
        <v>#N/A</v>
      </c>
      <c r="L169" s="152" t="e">
        <f ca="1">OFFSET('自動車台帳'!N170,'自動車台帳'!$AP170,0)</f>
        <v>#N/A</v>
      </c>
      <c r="M169" s="148" t="e">
        <f ca="1">OFFSET('自動車台帳'!AB170,'自動車台帳'!$AP170,0)</f>
        <v>#N/A</v>
      </c>
      <c r="N169" s="148" t="e">
        <f ca="1">OFFSET('自動車台帳'!AC170,'自動車台帳'!$AP170,0)</f>
        <v>#N/A</v>
      </c>
      <c r="O169" s="153" t="e">
        <f ca="1">OFFSET('自動車台帳'!AD170,'自動車台帳'!$AP170,0)</f>
        <v>#N/A</v>
      </c>
      <c r="P169" s="154" t="e">
        <f ca="1">OFFSET('自動車台帳'!AE170,'自動車台帳'!$AP170,0)</f>
        <v>#N/A</v>
      </c>
      <c r="Q169" s="154" t="e">
        <f ca="1">OFFSET('自動車台帳'!AF170,'自動車台帳'!$AP170,0)</f>
        <v>#N/A</v>
      </c>
    </row>
    <row r="170" spans="1:17" ht="13.5">
      <c r="A170" s="148" t="e">
        <f ca="1">OFFSET('自動車台帳'!C171,'自動車台帳'!$AP171,0)</f>
        <v>#N/A</v>
      </c>
      <c r="B170" s="148" t="e">
        <f ca="1">OFFSET('自動車台帳'!D171,'自動車台帳'!$AP171,0)</f>
        <v>#N/A</v>
      </c>
      <c r="C170" s="148" t="e">
        <f ca="1">OFFSET('自動車台帳'!E171,'自動車台帳'!$AP171,0)</f>
        <v>#N/A</v>
      </c>
      <c r="D170" s="148" t="e">
        <f ca="1">OFFSET('自動車台帳'!F171,'自動車台帳'!$AP171,0)</f>
        <v>#N/A</v>
      </c>
      <c r="E170" s="149" t="e">
        <f ca="1">OFFSET('自動車台帳'!G171,'自動車台帳'!$AP171,0)</f>
        <v>#N/A</v>
      </c>
      <c r="F170" s="150" t="e">
        <f ca="1">OFFSET('自動車台帳'!H171,'自動車台帳'!$AP171,0)</f>
        <v>#N/A</v>
      </c>
      <c r="G170" s="148" t="e">
        <f ca="1">OFFSET('自動車台帳'!I171,'自動車台帳'!$AP171,0)</f>
        <v>#N/A</v>
      </c>
      <c r="H170" s="148" t="e">
        <f ca="1">OFFSET('自動車台帳'!J171,'自動車台帳'!$AP171,0)</f>
        <v>#N/A</v>
      </c>
      <c r="I170" s="149" t="e">
        <f ca="1">OFFSET('自動車台帳'!K171,'自動車台帳'!$AP171,0)</f>
        <v>#N/A</v>
      </c>
      <c r="J170" s="151" t="e">
        <f ca="1">OFFSET('自動車台帳'!L171,'自動車台帳'!$AP171,0)</f>
        <v>#N/A</v>
      </c>
      <c r="K170" s="152" t="e">
        <f ca="1">OFFSET('自動車台帳'!M171,'自動車台帳'!$AP171,0)</f>
        <v>#N/A</v>
      </c>
      <c r="L170" s="152" t="e">
        <f ca="1">OFFSET('自動車台帳'!N171,'自動車台帳'!$AP171,0)</f>
        <v>#N/A</v>
      </c>
      <c r="M170" s="148" t="e">
        <f ca="1">OFFSET('自動車台帳'!AB171,'自動車台帳'!$AP171,0)</f>
        <v>#N/A</v>
      </c>
      <c r="N170" s="148" t="e">
        <f ca="1">OFFSET('自動車台帳'!AC171,'自動車台帳'!$AP171,0)</f>
        <v>#N/A</v>
      </c>
      <c r="O170" s="153" t="e">
        <f ca="1">OFFSET('自動車台帳'!AD171,'自動車台帳'!$AP171,0)</f>
        <v>#N/A</v>
      </c>
      <c r="P170" s="154" t="e">
        <f ca="1">OFFSET('自動車台帳'!AE171,'自動車台帳'!$AP171,0)</f>
        <v>#N/A</v>
      </c>
      <c r="Q170" s="154" t="e">
        <f ca="1">OFFSET('自動車台帳'!AF171,'自動車台帳'!$AP171,0)</f>
        <v>#N/A</v>
      </c>
    </row>
    <row r="171" spans="1:17" ht="13.5">
      <c r="A171" s="148" t="e">
        <f ca="1">OFFSET('自動車台帳'!C172,'自動車台帳'!$AP172,0)</f>
        <v>#N/A</v>
      </c>
      <c r="B171" s="148" t="e">
        <f ca="1">OFFSET('自動車台帳'!D172,'自動車台帳'!$AP172,0)</f>
        <v>#N/A</v>
      </c>
      <c r="C171" s="148" t="e">
        <f ca="1">OFFSET('自動車台帳'!E172,'自動車台帳'!$AP172,0)</f>
        <v>#N/A</v>
      </c>
      <c r="D171" s="148" t="e">
        <f ca="1">OFFSET('自動車台帳'!F172,'自動車台帳'!$AP172,0)</f>
        <v>#N/A</v>
      </c>
      <c r="E171" s="149" t="e">
        <f ca="1">OFFSET('自動車台帳'!G172,'自動車台帳'!$AP172,0)</f>
        <v>#N/A</v>
      </c>
      <c r="F171" s="150" t="e">
        <f ca="1">OFFSET('自動車台帳'!H172,'自動車台帳'!$AP172,0)</f>
        <v>#N/A</v>
      </c>
      <c r="G171" s="148" t="e">
        <f ca="1">OFFSET('自動車台帳'!I172,'自動車台帳'!$AP172,0)</f>
        <v>#N/A</v>
      </c>
      <c r="H171" s="148" t="e">
        <f ca="1">OFFSET('自動車台帳'!J172,'自動車台帳'!$AP172,0)</f>
        <v>#N/A</v>
      </c>
      <c r="I171" s="149" t="e">
        <f ca="1">OFFSET('自動車台帳'!K172,'自動車台帳'!$AP172,0)</f>
        <v>#N/A</v>
      </c>
      <c r="J171" s="151" t="e">
        <f ca="1">OFFSET('自動車台帳'!L172,'自動車台帳'!$AP172,0)</f>
        <v>#N/A</v>
      </c>
      <c r="K171" s="152" t="e">
        <f ca="1">OFFSET('自動車台帳'!M172,'自動車台帳'!$AP172,0)</f>
        <v>#N/A</v>
      </c>
      <c r="L171" s="152" t="e">
        <f ca="1">OFFSET('自動車台帳'!N172,'自動車台帳'!$AP172,0)</f>
        <v>#N/A</v>
      </c>
      <c r="M171" s="148" t="e">
        <f ca="1">OFFSET('自動車台帳'!AB172,'自動車台帳'!$AP172,0)</f>
        <v>#N/A</v>
      </c>
      <c r="N171" s="148" t="e">
        <f ca="1">OFFSET('自動車台帳'!AC172,'自動車台帳'!$AP172,0)</f>
        <v>#N/A</v>
      </c>
      <c r="O171" s="153" t="e">
        <f ca="1">OFFSET('自動車台帳'!AD172,'自動車台帳'!$AP172,0)</f>
        <v>#N/A</v>
      </c>
      <c r="P171" s="154" t="e">
        <f ca="1">OFFSET('自動車台帳'!AE172,'自動車台帳'!$AP172,0)</f>
        <v>#N/A</v>
      </c>
      <c r="Q171" s="154" t="e">
        <f ca="1">OFFSET('自動車台帳'!AF172,'自動車台帳'!$AP172,0)</f>
        <v>#N/A</v>
      </c>
    </row>
    <row r="172" spans="1:17" ht="13.5">
      <c r="A172" s="148" t="e">
        <f ca="1">OFFSET('自動車台帳'!C173,'自動車台帳'!$AP173,0)</f>
        <v>#N/A</v>
      </c>
      <c r="B172" s="148" t="e">
        <f ca="1">OFFSET('自動車台帳'!D173,'自動車台帳'!$AP173,0)</f>
        <v>#N/A</v>
      </c>
      <c r="C172" s="148" t="e">
        <f ca="1">OFFSET('自動車台帳'!E173,'自動車台帳'!$AP173,0)</f>
        <v>#N/A</v>
      </c>
      <c r="D172" s="148" t="e">
        <f ca="1">OFFSET('自動車台帳'!F173,'自動車台帳'!$AP173,0)</f>
        <v>#N/A</v>
      </c>
      <c r="E172" s="149" t="e">
        <f ca="1">OFFSET('自動車台帳'!G173,'自動車台帳'!$AP173,0)</f>
        <v>#N/A</v>
      </c>
      <c r="F172" s="150" t="e">
        <f ca="1">OFFSET('自動車台帳'!H173,'自動車台帳'!$AP173,0)</f>
        <v>#N/A</v>
      </c>
      <c r="G172" s="148" t="e">
        <f ca="1">OFFSET('自動車台帳'!I173,'自動車台帳'!$AP173,0)</f>
        <v>#N/A</v>
      </c>
      <c r="H172" s="148" t="e">
        <f ca="1">OFFSET('自動車台帳'!J173,'自動車台帳'!$AP173,0)</f>
        <v>#N/A</v>
      </c>
      <c r="I172" s="149" t="e">
        <f ca="1">OFFSET('自動車台帳'!K173,'自動車台帳'!$AP173,0)</f>
        <v>#N/A</v>
      </c>
      <c r="J172" s="151" t="e">
        <f ca="1">OFFSET('自動車台帳'!L173,'自動車台帳'!$AP173,0)</f>
        <v>#N/A</v>
      </c>
      <c r="K172" s="152" t="e">
        <f ca="1">OFFSET('自動車台帳'!M173,'自動車台帳'!$AP173,0)</f>
        <v>#N/A</v>
      </c>
      <c r="L172" s="152" t="e">
        <f ca="1">OFFSET('自動車台帳'!N173,'自動車台帳'!$AP173,0)</f>
        <v>#N/A</v>
      </c>
      <c r="M172" s="148" t="e">
        <f ca="1">OFFSET('自動車台帳'!AB173,'自動車台帳'!$AP173,0)</f>
        <v>#N/A</v>
      </c>
      <c r="N172" s="148" t="e">
        <f ca="1">OFFSET('自動車台帳'!AC173,'自動車台帳'!$AP173,0)</f>
        <v>#N/A</v>
      </c>
      <c r="O172" s="153" t="e">
        <f ca="1">OFFSET('自動車台帳'!AD173,'自動車台帳'!$AP173,0)</f>
        <v>#N/A</v>
      </c>
      <c r="P172" s="154" t="e">
        <f ca="1">OFFSET('自動車台帳'!AE173,'自動車台帳'!$AP173,0)</f>
        <v>#N/A</v>
      </c>
      <c r="Q172" s="154" t="e">
        <f ca="1">OFFSET('自動車台帳'!AF173,'自動車台帳'!$AP173,0)</f>
        <v>#N/A</v>
      </c>
    </row>
    <row r="173" spans="1:17" ht="13.5">
      <c r="A173" s="148" t="e">
        <f ca="1">OFFSET('自動車台帳'!C174,'自動車台帳'!$AP174,0)</f>
        <v>#N/A</v>
      </c>
      <c r="B173" s="148" t="e">
        <f ca="1">OFFSET('自動車台帳'!D174,'自動車台帳'!$AP174,0)</f>
        <v>#N/A</v>
      </c>
      <c r="C173" s="148" t="e">
        <f ca="1">OFFSET('自動車台帳'!E174,'自動車台帳'!$AP174,0)</f>
        <v>#N/A</v>
      </c>
      <c r="D173" s="148" t="e">
        <f ca="1">OFFSET('自動車台帳'!F174,'自動車台帳'!$AP174,0)</f>
        <v>#N/A</v>
      </c>
      <c r="E173" s="149" t="e">
        <f ca="1">OFFSET('自動車台帳'!G174,'自動車台帳'!$AP174,0)</f>
        <v>#N/A</v>
      </c>
      <c r="F173" s="150" t="e">
        <f ca="1">OFFSET('自動車台帳'!H174,'自動車台帳'!$AP174,0)</f>
        <v>#N/A</v>
      </c>
      <c r="G173" s="148" t="e">
        <f ca="1">OFFSET('自動車台帳'!I174,'自動車台帳'!$AP174,0)</f>
        <v>#N/A</v>
      </c>
      <c r="H173" s="148" t="e">
        <f ca="1">OFFSET('自動車台帳'!J174,'自動車台帳'!$AP174,0)</f>
        <v>#N/A</v>
      </c>
      <c r="I173" s="149" t="e">
        <f ca="1">OFFSET('自動車台帳'!K174,'自動車台帳'!$AP174,0)</f>
        <v>#N/A</v>
      </c>
      <c r="J173" s="151" t="e">
        <f ca="1">OFFSET('自動車台帳'!L174,'自動車台帳'!$AP174,0)</f>
        <v>#N/A</v>
      </c>
      <c r="K173" s="152" t="e">
        <f ca="1">OFFSET('自動車台帳'!M174,'自動車台帳'!$AP174,0)</f>
        <v>#N/A</v>
      </c>
      <c r="L173" s="152" t="e">
        <f ca="1">OFFSET('自動車台帳'!N174,'自動車台帳'!$AP174,0)</f>
        <v>#N/A</v>
      </c>
      <c r="M173" s="148" t="e">
        <f ca="1">OFFSET('自動車台帳'!AB174,'自動車台帳'!$AP174,0)</f>
        <v>#N/A</v>
      </c>
      <c r="N173" s="148" t="e">
        <f ca="1">OFFSET('自動車台帳'!AC174,'自動車台帳'!$AP174,0)</f>
        <v>#N/A</v>
      </c>
      <c r="O173" s="153" t="e">
        <f ca="1">OFFSET('自動車台帳'!AD174,'自動車台帳'!$AP174,0)</f>
        <v>#N/A</v>
      </c>
      <c r="P173" s="154" t="e">
        <f ca="1">OFFSET('自動車台帳'!AE174,'自動車台帳'!$AP174,0)</f>
        <v>#N/A</v>
      </c>
      <c r="Q173" s="154" t="e">
        <f ca="1">OFFSET('自動車台帳'!AF174,'自動車台帳'!$AP174,0)</f>
        <v>#N/A</v>
      </c>
    </row>
    <row r="174" spans="1:17" ht="13.5">
      <c r="A174" s="148" t="e">
        <f ca="1">OFFSET('自動車台帳'!C175,'自動車台帳'!$AP175,0)</f>
        <v>#N/A</v>
      </c>
      <c r="B174" s="148" t="e">
        <f ca="1">OFFSET('自動車台帳'!D175,'自動車台帳'!$AP175,0)</f>
        <v>#N/A</v>
      </c>
      <c r="C174" s="148" t="e">
        <f ca="1">OFFSET('自動車台帳'!E175,'自動車台帳'!$AP175,0)</f>
        <v>#N/A</v>
      </c>
      <c r="D174" s="148" t="e">
        <f ca="1">OFFSET('自動車台帳'!F175,'自動車台帳'!$AP175,0)</f>
        <v>#N/A</v>
      </c>
      <c r="E174" s="149" t="e">
        <f ca="1">OFFSET('自動車台帳'!G175,'自動車台帳'!$AP175,0)</f>
        <v>#N/A</v>
      </c>
      <c r="F174" s="150" t="e">
        <f ca="1">OFFSET('自動車台帳'!H175,'自動車台帳'!$AP175,0)</f>
        <v>#N/A</v>
      </c>
      <c r="G174" s="148" t="e">
        <f ca="1">OFFSET('自動車台帳'!I175,'自動車台帳'!$AP175,0)</f>
        <v>#N/A</v>
      </c>
      <c r="H174" s="148" t="e">
        <f ca="1">OFFSET('自動車台帳'!J175,'自動車台帳'!$AP175,0)</f>
        <v>#N/A</v>
      </c>
      <c r="I174" s="149" t="e">
        <f ca="1">OFFSET('自動車台帳'!K175,'自動車台帳'!$AP175,0)</f>
        <v>#N/A</v>
      </c>
      <c r="J174" s="151" t="e">
        <f ca="1">OFFSET('自動車台帳'!L175,'自動車台帳'!$AP175,0)</f>
        <v>#N/A</v>
      </c>
      <c r="K174" s="152" t="e">
        <f ca="1">OFFSET('自動車台帳'!M175,'自動車台帳'!$AP175,0)</f>
        <v>#N/A</v>
      </c>
      <c r="L174" s="152" t="e">
        <f ca="1">OFFSET('自動車台帳'!N175,'自動車台帳'!$AP175,0)</f>
        <v>#N/A</v>
      </c>
      <c r="M174" s="148" t="e">
        <f ca="1">OFFSET('自動車台帳'!AB175,'自動車台帳'!$AP175,0)</f>
        <v>#N/A</v>
      </c>
      <c r="N174" s="148" t="e">
        <f ca="1">OFFSET('自動車台帳'!AC175,'自動車台帳'!$AP175,0)</f>
        <v>#N/A</v>
      </c>
      <c r="O174" s="153" t="e">
        <f ca="1">OFFSET('自動車台帳'!AD175,'自動車台帳'!$AP175,0)</f>
        <v>#N/A</v>
      </c>
      <c r="P174" s="154" t="e">
        <f ca="1">OFFSET('自動車台帳'!AE175,'自動車台帳'!$AP175,0)</f>
        <v>#N/A</v>
      </c>
      <c r="Q174" s="154" t="e">
        <f ca="1">OFFSET('自動車台帳'!AF175,'自動車台帳'!$AP175,0)</f>
        <v>#N/A</v>
      </c>
    </row>
    <row r="175" spans="1:17" ht="13.5">
      <c r="A175" s="148" t="e">
        <f ca="1">OFFSET('自動車台帳'!C176,'自動車台帳'!$AP176,0)</f>
        <v>#N/A</v>
      </c>
      <c r="B175" s="148" t="e">
        <f ca="1">OFFSET('自動車台帳'!D176,'自動車台帳'!$AP176,0)</f>
        <v>#N/A</v>
      </c>
      <c r="C175" s="148" t="e">
        <f ca="1">OFFSET('自動車台帳'!E176,'自動車台帳'!$AP176,0)</f>
        <v>#N/A</v>
      </c>
      <c r="D175" s="148" t="e">
        <f ca="1">OFFSET('自動車台帳'!F176,'自動車台帳'!$AP176,0)</f>
        <v>#N/A</v>
      </c>
      <c r="E175" s="149" t="e">
        <f ca="1">OFFSET('自動車台帳'!G176,'自動車台帳'!$AP176,0)</f>
        <v>#N/A</v>
      </c>
      <c r="F175" s="150" t="e">
        <f ca="1">OFFSET('自動車台帳'!H176,'自動車台帳'!$AP176,0)</f>
        <v>#N/A</v>
      </c>
      <c r="G175" s="148" t="e">
        <f ca="1">OFFSET('自動車台帳'!I176,'自動車台帳'!$AP176,0)</f>
        <v>#N/A</v>
      </c>
      <c r="H175" s="148" t="e">
        <f ca="1">OFFSET('自動車台帳'!J176,'自動車台帳'!$AP176,0)</f>
        <v>#N/A</v>
      </c>
      <c r="I175" s="149" t="e">
        <f ca="1">OFFSET('自動車台帳'!K176,'自動車台帳'!$AP176,0)</f>
        <v>#N/A</v>
      </c>
      <c r="J175" s="151" t="e">
        <f ca="1">OFFSET('自動車台帳'!L176,'自動車台帳'!$AP176,0)</f>
        <v>#N/A</v>
      </c>
      <c r="K175" s="152" t="e">
        <f ca="1">OFFSET('自動車台帳'!M176,'自動車台帳'!$AP176,0)</f>
        <v>#N/A</v>
      </c>
      <c r="L175" s="152" t="e">
        <f ca="1">OFFSET('自動車台帳'!N176,'自動車台帳'!$AP176,0)</f>
        <v>#N/A</v>
      </c>
      <c r="M175" s="148" t="e">
        <f ca="1">OFFSET('自動車台帳'!AB176,'自動車台帳'!$AP176,0)</f>
        <v>#N/A</v>
      </c>
      <c r="N175" s="148" t="e">
        <f ca="1">OFFSET('自動車台帳'!AC176,'自動車台帳'!$AP176,0)</f>
        <v>#N/A</v>
      </c>
      <c r="O175" s="153" t="e">
        <f ca="1">OFFSET('自動車台帳'!AD176,'自動車台帳'!$AP176,0)</f>
        <v>#N/A</v>
      </c>
      <c r="P175" s="154" t="e">
        <f ca="1">OFFSET('自動車台帳'!AE176,'自動車台帳'!$AP176,0)</f>
        <v>#N/A</v>
      </c>
      <c r="Q175" s="154" t="e">
        <f ca="1">OFFSET('自動車台帳'!AF176,'自動車台帳'!$AP176,0)</f>
        <v>#N/A</v>
      </c>
    </row>
    <row r="176" spans="1:17" ht="13.5">
      <c r="A176" s="148" t="e">
        <f ca="1">OFFSET('自動車台帳'!C177,'自動車台帳'!$AP177,0)</f>
        <v>#N/A</v>
      </c>
      <c r="B176" s="148" t="e">
        <f ca="1">OFFSET('自動車台帳'!D177,'自動車台帳'!$AP177,0)</f>
        <v>#N/A</v>
      </c>
      <c r="C176" s="148" t="e">
        <f ca="1">OFFSET('自動車台帳'!E177,'自動車台帳'!$AP177,0)</f>
        <v>#N/A</v>
      </c>
      <c r="D176" s="148" t="e">
        <f ca="1">OFFSET('自動車台帳'!F177,'自動車台帳'!$AP177,0)</f>
        <v>#N/A</v>
      </c>
      <c r="E176" s="149" t="e">
        <f ca="1">OFFSET('自動車台帳'!G177,'自動車台帳'!$AP177,0)</f>
        <v>#N/A</v>
      </c>
      <c r="F176" s="150" t="e">
        <f ca="1">OFFSET('自動車台帳'!H177,'自動車台帳'!$AP177,0)</f>
        <v>#N/A</v>
      </c>
      <c r="G176" s="148" t="e">
        <f ca="1">OFFSET('自動車台帳'!I177,'自動車台帳'!$AP177,0)</f>
        <v>#N/A</v>
      </c>
      <c r="H176" s="148" t="e">
        <f ca="1">OFFSET('自動車台帳'!J177,'自動車台帳'!$AP177,0)</f>
        <v>#N/A</v>
      </c>
      <c r="I176" s="149" t="e">
        <f ca="1">OFFSET('自動車台帳'!K177,'自動車台帳'!$AP177,0)</f>
        <v>#N/A</v>
      </c>
      <c r="J176" s="151" t="e">
        <f ca="1">OFFSET('自動車台帳'!L177,'自動車台帳'!$AP177,0)</f>
        <v>#N/A</v>
      </c>
      <c r="K176" s="152" t="e">
        <f ca="1">OFFSET('自動車台帳'!M177,'自動車台帳'!$AP177,0)</f>
        <v>#N/A</v>
      </c>
      <c r="L176" s="152" t="e">
        <f ca="1">OFFSET('自動車台帳'!N177,'自動車台帳'!$AP177,0)</f>
        <v>#N/A</v>
      </c>
      <c r="M176" s="148" t="e">
        <f ca="1">OFFSET('自動車台帳'!AB177,'自動車台帳'!$AP177,0)</f>
        <v>#N/A</v>
      </c>
      <c r="N176" s="148" t="e">
        <f ca="1">OFFSET('自動車台帳'!AC177,'自動車台帳'!$AP177,0)</f>
        <v>#N/A</v>
      </c>
      <c r="O176" s="153" t="e">
        <f ca="1">OFFSET('自動車台帳'!AD177,'自動車台帳'!$AP177,0)</f>
        <v>#N/A</v>
      </c>
      <c r="P176" s="154" t="e">
        <f ca="1">OFFSET('自動車台帳'!AE177,'自動車台帳'!$AP177,0)</f>
        <v>#N/A</v>
      </c>
      <c r="Q176" s="154" t="e">
        <f ca="1">OFFSET('自動車台帳'!AF177,'自動車台帳'!$AP177,0)</f>
        <v>#N/A</v>
      </c>
    </row>
    <row r="177" spans="1:17" ht="13.5">
      <c r="A177" s="148" t="e">
        <f ca="1">OFFSET('自動車台帳'!C178,'自動車台帳'!$AP178,0)</f>
        <v>#N/A</v>
      </c>
      <c r="B177" s="148" t="e">
        <f ca="1">OFFSET('自動車台帳'!D178,'自動車台帳'!$AP178,0)</f>
        <v>#N/A</v>
      </c>
      <c r="C177" s="148" t="e">
        <f ca="1">OFFSET('自動車台帳'!E178,'自動車台帳'!$AP178,0)</f>
        <v>#N/A</v>
      </c>
      <c r="D177" s="148" t="e">
        <f ca="1">OFFSET('自動車台帳'!F178,'自動車台帳'!$AP178,0)</f>
        <v>#N/A</v>
      </c>
      <c r="E177" s="149" t="e">
        <f ca="1">OFFSET('自動車台帳'!G178,'自動車台帳'!$AP178,0)</f>
        <v>#N/A</v>
      </c>
      <c r="F177" s="150" t="e">
        <f ca="1">OFFSET('自動車台帳'!H178,'自動車台帳'!$AP178,0)</f>
        <v>#N/A</v>
      </c>
      <c r="G177" s="148" t="e">
        <f ca="1">OFFSET('自動車台帳'!I178,'自動車台帳'!$AP178,0)</f>
        <v>#N/A</v>
      </c>
      <c r="H177" s="148" t="e">
        <f ca="1">OFFSET('自動車台帳'!J178,'自動車台帳'!$AP178,0)</f>
        <v>#N/A</v>
      </c>
      <c r="I177" s="149" t="e">
        <f ca="1">OFFSET('自動車台帳'!K178,'自動車台帳'!$AP178,0)</f>
        <v>#N/A</v>
      </c>
      <c r="J177" s="151" t="e">
        <f ca="1">OFFSET('自動車台帳'!L178,'自動車台帳'!$AP178,0)</f>
        <v>#N/A</v>
      </c>
      <c r="K177" s="152" t="e">
        <f ca="1">OFFSET('自動車台帳'!M178,'自動車台帳'!$AP178,0)</f>
        <v>#N/A</v>
      </c>
      <c r="L177" s="152" t="e">
        <f ca="1">OFFSET('自動車台帳'!N178,'自動車台帳'!$AP178,0)</f>
        <v>#N/A</v>
      </c>
      <c r="M177" s="148" t="e">
        <f ca="1">OFFSET('自動車台帳'!AB178,'自動車台帳'!$AP178,0)</f>
        <v>#N/A</v>
      </c>
      <c r="N177" s="148" t="e">
        <f ca="1">OFFSET('自動車台帳'!AC178,'自動車台帳'!$AP178,0)</f>
        <v>#N/A</v>
      </c>
      <c r="O177" s="153" t="e">
        <f ca="1">OFFSET('自動車台帳'!AD178,'自動車台帳'!$AP178,0)</f>
        <v>#N/A</v>
      </c>
      <c r="P177" s="154" t="e">
        <f ca="1">OFFSET('自動車台帳'!AE178,'自動車台帳'!$AP178,0)</f>
        <v>#N/A</v>
      </c>
      <c r="Q177" s="154" t="e">
        <f ca="1">OFFSET('自動車台帳'!AF178,'自動車台帳'!$AP178,0)</f>
        <v>#N/A</v>
      </c>
    </row>
    <row r="178" spans="1:17" ht="13.5">
      <c r="A178" s="148" t="e">
        <f ca="1">OFFSET('自動車台帳'!C179,'自動車台帳'!$AP179,0)</f>
        <v>#N/A</v>
      </c>
      <c r="B178" s="148" t="e">
        <f ca="1">OFFSET('自動車台帳'!D179,'自動車台帳'!$AP179,0)</f>
        <v>#N/A</v>
      </c>
      <c r="C178" s="148" t="e">
        <f ca="1">OFFSET('自動車台帳'!E179,'自動車台帳'!$AP179,0)</f>
        <v>#N/A</v>
      </c>
      <c r="D178" s="148" t="e">
        <f ca="1">OFFSET('自動車台帳'!F179,'自動車台帳'!$AP179,0)</f>
        <v>#N/A</v>
      </c>
      <c r="E178" s="149" t="e">
        <f ca="1">OFFSET('自動車台帳'!G179,'自動車台帳'!$AP179,0)</f>
        <v>#N/A</v>
      </c>
      <c r="F178" s="150" t="e">
        <f ca="1">OFFSET('自動車台帳'!H179,'自動車台帳'!$AP179,0)</f>
        <v>#N/A</v>
      </c>
      <c r="G178" s="148" t="e">
        <f ca="1">OFFSET('自動車台帳'!I179,'自動車台帳'!$AP179,0)</f>
        <v>#N/A</v>
      </c>
      <c r="H178" s="148" t="e">
        <f ca="1">OFFSET('自動車台帳'!J179,'自動車台帳'!$AP179,0)</f>
        <v>#N/A</v>
      </c>
      <c r="I178" s="149" t="e">
        <f ca="1">OFFSET('自動車台帳'!K179,'自動車台帳'!$AP179,0)</f>
        <v>#N/A</v>
      </c>
      <c r="J178" s="151" t="e">
        <f ca="1">OFFSET('自動車台帳'!L179,'自動車台帳'!$AP179,0)</f>
        <v>#N/A</v>
      </c>
      <c r="K178" s="152" t="e">
        <f ca="1">OFFSET('自動車台帳'!M179,'自動車台帳'!$AP179,0)</f>
        <v>#N/A</v>
      </c>
      <c r="L178" s="152" t="e">
        <f ca="1">OFFSET('自動車台帳'!N179,'自動車台帳'!$AP179,0)</f>
        <v>#N/A</v>
      </c>
      <c r="M178" s="148" t="e">
        <f ca="1">OFFSET('自動車台帳'!AB179,'自動車台帳'!$AP179,0)</f>
        <v>#N/A</v>
      </c>
      <c r="N178" s="148" t="e">
        <f ca="1">OFFSET('自動車台帳'!AC179,'自動車台帳'!$AP179,0)</f>
        <v>#N/A</v>
      </c>
      <c r="O178" s="153" t="e">
        <f ca="1">OFFSET('自動車台帳'!AD179,'自動車台帳'!$AP179,0)</f>
        <v>#N/A</v>
      </c>
      <c r="P178" s="154" t="e">
        <f ca="1">OFFSET('自動車台帳'!AE179,'自動車台帳'!$AP179,0)</f>
        <v>#N/A</v>
      </c>
      <c r="Q178" s="154" t="e">
        <f ca="1">OFFSET('自動車台帳'!AF179,'自動車台帳'!$AP179,0)</f>
        <v>#N/A</v>
      </c>
    </row>
    <row r="179" spans="1:17" ht="13.5">
      <c r="A179" s="148" t="e">
        <f ca="1">OFFSET('自動車台帳'!C180,'自動車台帳'!$AP180,0)</f>
        <v>#N/A</v>
      </c>
      <c r="B179" s="148" t="e">
        <f ca="1">OFFSET('自動車台帳'!D180,'自動車台帳'!$AP180,0)</f>
        <v>#N/A</v>
      </c>
      <c r="C179" s="148" t="e">
        <f ca="1">OFFSET('自動車台帳'!E180,'自動車台帳'!$AP180,0)</f>
        <v>#N/A</v>
      </c>
      <c r="D179" s="148" t="e">
        <f ca="1">OFFSET('自動車台帳'!F180,'自動車台帳'!$AP180,0)</f>
        <v>#N/A</v>
      </c>
      <c r="E179" s="149" t="e">
        <f ca="1">OFFSET('自動車台帳'!G180,'自動車台帳'!$AP180,0)</f>
        <v>#N/A</v>
      </c>
      <c r="F179" s="150" t="e">
        <f ca="1">OFFSET('自動車台帳'!H180,'自動車台帳'!$AP180,0)</f>
        <v>#N/A</v>
      </c>
      <c r="G179" s="148" t="e">
        <f ca="1">OFFSET('自動車台帳'!I180,'自動車台帳'!$AP180,0)</f>
        <v>#N/A</v>
      </c>
      <c r="H179" s="148" t="e">
        <f ca="1">OFFSET('自動車台帳'!J180,'自動車台帳'!$AP180,0)</f>
        <v>#N/A</v>
      </c>
      <c r="I179" s="149" t="e">
        <f ca="1">OFFSET('自動車台帳'!K180,'自動車台帳'!$AP180,0)</f>
        <v>#N/A</v>
      </c>
      <c r="J179" s="151" t="e">
        <f ca="1">OFFSET('自動車台帳'!L180,'自動車台帳'!$AP180,0)</f>
        <v>#N/A</v>
      </c>
      <c r="K179" s="152" t="e">
        <f ca="1">OFFSET('自動車台帳'!M180,'自動車台帳'!$AP180,0)</f>
        <v>#N/A</v>
      </c>
      <c r="L179" s="152" t="e">
        <f ca="1">OFFSET('自動車台帳'!N180,'自動車台帳'!$AP180,0)</f>
        <v>#N/A</v>
      </c>
      <c r="M179" s="148" t="e">
        <f ca="1">OFFSET('自動車台帳'!AB180,'自動車台帳'!$AP180,0)</f>
        <v>#N/A</v>
      </c>
      <c r="N179" s="148" t="e">
        <f ca="1">OFFSET('自動車台帳'!AC180,'自動車台帳'!$AP180,0)</f>
        <v>#N/A</v>
      </c>
      <c r="O179" s="153" t="e">
        <f ca="1">OFFSET('自動車台帳'!AD180,'自動車台帳'!$AP180,0)</f>
        <v>#N/A</v>
      </c>
      <c r="P179" s="154" t="e">
        <f ca="1">OFFSET('自動車台帳'!AE180,'自動車台帳'!$AP180,0)</f>
        <v>#N/A</v>
      </c>
      <c r="Q179" s="154" t="e">
        <f ca="1">OFFSET('自動車台帳'!AF180,'自動車台帳'!$AP180,0)</f>
        <v>#N/A</v>
      </c>
    </row>
    <row r="180" spans="1:17" ht="13.5">
      <c r="A180" s="148" t="e">
        <f ca="1">OFFSET('自動車台帳'!C181,'自動車台帳'!$AP181,0)</f>
        <v>#N/A</v>
      </c>
      <c r="B180" s="148" t="e">
        <f ca="1">OFFSET('自動車台帳'!D181,'自動車台帳'!$AP181,0)</f>
        <v>#N/A</v>
      </c>
      <c r="C180" s="148" t="e">
        <f ca="1">OFFSET('自動車台帳'!E181,'自動車台帳'!$AP181,0)</f>
        <v>#N/A</v>
      </c>
      <c r="D180" s="148" t="e">
        <f ca="1">OFFSET('自動車台帳'!F181,'自動車台帳'!$AP181,0)</f>
        <v>#N/A</v>
      </c>
      <c r="E180" s="149" t="e">
        <f ca="1">OFFSET('自動車台帳'!G181,'自動車台帳'!$AP181,0)</f>
        <v>#N/A</v>
      </c>
      <c r="F180" s="150" t="e">
        <f ca="1">OFFSET('自動車台帳'!H181,'自動車台帳'!$AP181,0)</f>
        <v>#N/A</v>
      </c>
      <c r="G180" s="148" t="e">
        <f ca="1">OFFSET('自動車台帳'!I181,'自動車台帳'!$AP181,0)</f>
        <v>#N/A</v>
      </c>
      <c r="H180" s="148" t="e">
        <f ca="1">OFFSET('自動車台帳'!J181,'自動車台帳'!$AP181,0)</f>
        <v>#N/A</v>
      </c>
      <c r="I180" s="149" t="e">
        <f ca="1">OFFSET('自動車台帳'!K181,'自動車台帳'!$AP181,0)</f>
        <v>#N/A</v>
      </c>
      <c r="J180" s="151" t="e">
        <f ca="1">OFFSET('自動車台帳'!L181,'自動車台帳'!$AP181,0)</f>
        <v>#N/A</v>
      </c>
      <c r="K180" s="152" t="e">
        <f ca="1">OFFSET('自動車台帳'!M181,'自動車台帳'!$AP181,0)</f>
        <v>#N/A</v>
      </c>
      <c r="L180" s="152" t="e">
        <f ca="1">OFFSET('自動車台帳'!N181,'自動車台帳'!$AP181,0)</f>
        <v>#N/A</v>
      </c>
      <c r="M180" s="148" t="e">
        <f ca="1">OFFSET('自動車台帳'!AB181,'自動車台帳'!$AP181,0)</f>
        <v>#N/A</v>
      </c>
      <c r="N180" s="148" t="e">
        <f ca="1">OFFSET('自動車台帳'!AC181,'自動車台帳'!$AP181,0)</f>
        <v>#N/A</v>
      </c>
      <c r="O180" s="153" t="e">
        <f ca="1">OFFSET('自動車台帳'!AD181,'自動車台帳'!$AP181,0)</f>
        <v>#N/A</v>
      </c>
      <c r="P180" s="154" t="e">
        <f ca="1">OFFSET('自動車台帳'!AE181,'自動車台帳'!$AP181,0)</f>
        <v>#N/A</v>
      </c>
      <c r="Q180" s="154" t="e">
        <f ca="1">OFFSET('自動車台帳'!AF181,'自動車台帳'!$AP181,0)</f>
        <v>#N/A</v>
      </c>
    </row>
    <row r="181" spans="1:17" ht="13.5">
      <c r="A181" s="148" t="e">
        <f ca="1">OFFSET('自動車台帳'!C182,'自動車台帳'!$AP182,0)</f>
        <v>#N/A</v>
      </c>
      <c r="B181" s="148" t="e">
        <f ca="1">OFFSET('自動車台帳'!D182,'自動車台帳'!$AP182,0)</f>
        <v>#N/A</v>
      </c>
      <c r="C181" s="148" t="e">
        <f ca="1">OFFSET('自動車台帳'!E182,'自動車台帳'!$AP182,0)</f>
        <v>#N/A</v>
      </c>
      <c r="D181" s="148" t="e">
        <f ca="1">OFFSET('自動車台帳'!F182,'自動車台帳'!$AP182,0)</f>
        <v>#N/A</v>
      </c>
      <c r="E181" s="149" t="e">
        <f ca="1">OFFSET('自動車台帳'!G182,'自動車台帳'!$AP182,0)</f>
        <v>#N/A</v>
      </c>
      <c r="F181" s="150" t="e">
        <f ca="1">OFFSET('自動車台帳'!H182,'自動車台帳'!$AP182,0)</f>
        <v>#N/A</v>
      </c>
      <c r="G181" s="148" t="e">
        <f ca="1">OFFSET('自動車台帳'!I182,'自動車台帳'!$AP182,0)</f>
        <v>#N/A</v>
      </c>
      <c r="H181" s="148" t="e">
        <f ca="1">OFFSET('自動車台帳'!J182,'自動車台帳'!$AP182,0)</f>
        <v>#N/A</v>
      </c>
      <c r="I181" s="149" t="e">
        <f ca="1">OFFSET('自動車台帳'!K182,'自動車台帳'!$AP182,0)</f>
        <v>#N/A</v>
      </c>
      <c r="J181" s="151" t="e">
        <f ca="1">OFFSET('自動車台帳'!L182,'自動車台帳'!$AP182,0)</f>
        <v>#N/A</v>
      </c>
      <c r="K181" s="152" t="e">
        <f ca="1">OFFSET('自動車台帳'!M182,'自動車台帳'!$AP182,0)</f>
        <v>#N/A</v>
      </c>
      <c r="L181" s="152" t="e">
        <f ca="1">OFFSET('自動車台帳'!N182,'自動車台帳'!$AP182,0)</f>
        <v>#N/A</v>
      </c>
      <c r="M181" s="148" t="e">
        <f ca="1">OFFSET('自動車台帳'!AB182,'自動車台帳'!$AP182,0)</f>
        <v>#N/A</v>
      </c>
      <c r="N181" s="148" t="e">
        <f ca="1">OFFSET('自動車台帳'!AC182,'自動車台帳'!$AP182,0)</f>
        <v>#N/A</v>
      </c>
      <c r="O181" s="153" t="e">
        <f ca="1">OFFSET('自動車台帳'!AD182,'自動車台帳'!$AP182,0)</f>
        <v>#N/A</v>
      </c>
      <c r="P181" s="154" t="e">
        <f ca="1">OFFSET('自動車台帳'!AE182,'自動車台帳'!$AP182,0)</f>
        <v>#N/A</v>
      </c>
      <c r="Q181" s="154" t="e">
        <f ca="1">OFFSET('自動車台帳'!AF182,'自動車台帳'!$AP182,0)</f>
        <v>#N/A</v>
      </c>
    </row>
    <row r="182" spans="1:17" ht="13.5">
      <c r="A182" s="148" t="e">
        <f ca="1">OFFSET('自動車台帳'!C183,'自動車台帳'!$AP183,0)</f>
        <v>#N/A</v>
      </c>
      <c r="B182" s="148" t="e">
        <f ca="1">OFFSET('自動車台帳'!D183,'自動車台帳'!$AP183,0)</f>
        <v>#N/A</v>
      </c>
      <c r="C182" s="148" t="e">
        <f ca="1">OFFSET('自動車台帳'!E183,'自動車台帳'!$AP183,0)</f>
        <v>#N/A</v>
      </c>
      <c r="D182" s="148" t="e">
        <f ca="1">OFFSET('自動車台帳'!F183,'自動車台帳'!$AP183,0)</f>
        <v>#N/A</v>
      </c>
      <c r="E182" s="149" t="e">
        <f ca="1">OFFSET('自動車台帳'!G183,'自動車台帳'!$AP183,0)</f>
        <v>#N/A</v>
      </c>
      <c r="F182" s="150" t="e">
        <f ca="1">OFFSET('自動車台帳'!H183,'自動車台帳'!$AP183,0)</f>
        <v>#N/A</v>
      </c>
      <c r="G182" s="148" t="e">
        <f ca="1">OFFSET('自動車台帳'!I183,'自動車台帳'!$AP183,0)</f>
        <v>#N/A</v>
      </c>
      <c r="H182" s="148" t="e">
        <f ca="1">OFFSET('自動車台帳'!J183,'自動車台帳'!$AP183,0)</f>
        <v>#N/A</v>
      </c>
      <c r="I182" s="149" t="e">
        <f ca="1">OFFSET('自動車台帳'!K183,'自動車台帳'!$AP183,0)</f>
        <v>#N/A</v>
      </c>
      <c r="J182" s="151" t="e">
        <f ca="1">OFFSET('自動車台帳'!L183,'自動車台帳'!$AP183,0)</f>
        <v>#N/A</v>
      </c>
      <c r="K182" s="152" t="e">
        <f ca="1">OFFSET('自動車台帳'!M183,'自動車台帳'!$AP183,0)</f>
        <v>#N/A</v>
      </c>
      <c r="L182" s="152" t="e">
        <f ca="1">OFFSET('自動車台帳'!N183,'自動車台帳'!$AP183,0)</f>
        <v>#N/A</v>
      </c>
      <c r="M182" s="148" t="e">
        <f ca="1">OFFSET('自動車台帳'!AB183,'自動車台帳'!$AP183,0)</f>
        <v>#N/A</v>
      </c>
      <c r="N182" s="148" t="e">
        <f ca="1">OFFSET('自動車台帳'!AC183,'自動車台帳'!$AP183,0)</f>
        <v>#N/A</v>
      </c>
      <c r="O182" s="153" t="e">
        <f ca="1">OFFSET('自動車台帳'!AD183,'自動車台帳'!$AP183,0)</f>
        <v>#N/A</v>
      </c>
      <c r="P182" s="154" t="e">
        <f ca="1">OFFSET('自動車台帳'!AE183,'自動車台帳'!$AP183,0)</f>
        <v>#N/A</v>
      </c>
      <c r="Q182" s="154" t="e">
        <f ca="1">OFFSET('自動車台帳'!AF183,'自動車台帳'!$AP183,0)</f>
        <v>#N/A</v>
      </c>
    </row>
    <row r="183" spans="1:17" ht="13.5">
      <c r="A183" s="148" t="e">
        <f ca="1">OFFSET('自動車台帳'!C184,'自動車台帳'!$AP184,0)</f>
        <v>#N/A</v>
      </c>
      <c r="B183" s="148" t="e">
        <f ca="1">OFFSET('自動車台帳'!D184,'自動車台帳'!$AP184,0)</f>
        <v>#N/A</v>
      </c>
      <c r="C183" s="148" t="e">
        <f ca="1">OFFSET('自動車台帳'!E184,'自動車台帳'!$AP184,0)</f>
        <v>#N/A</v>
      </c>
      <c r="D183" s="148" t="e">
        <f ca="1">OFFSET('自動車台帳'!F184,'自動車台帳'!$AP184,0)</f>
        <v>#N/A</v>
      </c>
      <c r="E183" s="149" t="e">
        <f ca="1">OFFSET('自動車台帳'!G184,'自動車台帳'!$AP184,0)</f>
        <v>#N/A</v>
      </c>
      <c r="F183" s="150" t="e">
        <f ca="1">OFFSET('自動車台帳'!H184,'自動車台帳'!$AP184,0)</f>
        <v>#N/A</v>
      </c>
      <c r="G183" s="148" t="e">
        <f ca="1">OFFSET('自動車台帳'!I184,'自動車台帳'!$AP184,0)</f>
        <v>#N/A</v>
      </c>
      <c r="H183" s="148" t="e">
        <f ca="1">OFFSET('自動車台帳'!J184,'自動車台帳'!$AP184,0)</f>
        <v>#N/A</v>
      </c>
      <c r="I183" s="149" t="e">
        <f ca="1">OFFSET('自動車台帳'!K184,'自動車台帳'!$AP184,0)</f>
        <v>#N/A</v>
      </c>
      <c r="J183" s="151" t="e">
        <f ca="1">OFFSET('自動車台帳'!L184,'自動車台帳'!$AP184,0)</f>
        <v>#N/A</v>
      </c>
      <c r="K183" s="152" t="e">
        <f ca="1">OFFSET('自動車台帳'!M184,'自動車台帳'!$AP184,0)</f>
        <v>#N/A</v>
      </c>
      <c r="L183" s="152" t="e">
        <f ca="1">OFFSET('自動車台帳'!N184,'自動車台帳'!$AP184,0)</f>
        <v>#N/A</v>
      </c>
      <c r="M183" s="148" t="e">
        <f ca="1">OFFSET('自動車台帳'!AB184,'自動車台帳'!$AP184,0)</f>
        <v>#N/A</v>
      </c>
      <c r="N183" s="148" t="e">
        <f ca="1">OFFSET('自動車台帳'!AC184,'自動車台帳'!$AP184,0)</f>
        <v>#N/A</v>
      </c>
      <c r="O183" s="153" t="e">
        <f ca="1">OFFSET('自動車台帳'!AD184,'自動車台帳'!$AP184,0)</f>
        <v>#N/A</v>
      </c>
      <c r="P183" s="154" t="e">
        <f ca="1">OFFSET('自動車台帳'!AE184,'自動車台帳'!$AP184,0)</f>
        <v>#N/A</v>
      </c>
      <c r="Q183" s="154" t="e">
        <f ca="1">OFFSET('自動車台帳'!AF184,'自動車台帳'!$AP184,0)</f>
        <v>#N/A</v>
      </c>
    </row>
    <row r="184" spans="1:17" ht="13.5">
      <c r="A184" s="148" t="e">
        <f ca="1">OFFSET('自動車台帳'!C185,'自動車台帳'!$AP185,0)</f>
        <v>#N/A</v>
      </c>
      <c r="B184" s="148" t="e">
        <f ca="1">OFFSET('自動車台帳'!D185,'自動車台帳'!$AP185,0)</f>
        <v>#N/A</v>
      </c>
      <c r="C184" s="148" t="e">
        <f ca="1">OFFSET('自動車台帳'!E185,'自動車台帳'!$AP185,0)</f>
        <v>#N/A</v>
      </c>
      <c r="D184" s="148" t="e">
        <f ca="1">OFFSET('自動車台帳'!F185,'自動車台帳'!$AP185,0)</f>
        <v>#N/A</v>
      </c>
      <c r="E184" s="149" t="e">
        <f ca="1">OFFSET('自動車台帳'!G185,'自動車台帳'!$AP185,0)</f>
        <v>#N/A</v>
      </c>
      <c r="F184" s="150" t="e">
        <f ca="1">OFFSET('自動車台帳'!H185,'自動車台帳'!$AP185,0)</f>
        <v>#N/A</v>
      </c>
      <c r="G184" s="148" t="e">
        <f ca="1">OFFSET('自動車台帳'!I185,'自動車台帳'!$AP185,0)</f>
        <v>#N/A</v>
      </c>
      <c r="H184" s="148" t="e">
        <f ca="1">OFFSET('自動車台帳'!J185,'自動車台帳'!$AP185,0)</f>
        <v>#N/A</v>
      </c>
      <c r="I184" s="149" t="e">
        <f ca="1">OFFSET('自動車台帳'!K185,'自動車台帳'!$AP185,0)</f>
        <v>#N/A</v>
      </c>
      <c r="J184" s="151" t="e">
        <f ca="1">OFFSET('自動車台帳'!L185,'自動車台帳'!$AP185,0)</f>
        <v>#N/A</v>
      </c>
      <c r="K184" s="152" t="e">
        <f ca="1">OFFSET('自動車台帳'!M185,'自動車台帳'!$AP185,0)</f>
        <v>#N/A</v>
      </c>
      <c r="L184" s="152" t="e">
        <f ca="1">OFFSET('自動車台帳'!N185,'自動車台帳'!$AP185,0)</f>
        <v>#N/A</v>
      </c>
      <c r="M184" s="148" t="e">
        <f ca="1">OFFSET('自動車台帳'!AB185,'自動車台帳'!$AP185,0)</f>
        <v>#N/A</v>
      </c>
      <c r="N184" s="148" t="e">
        <f ca="1">OFFSET('自動車台帳'!AC185,'自動車台帳'!$AP185,0)</f>
        <v>#N/A</v>
      </c>
      <c r="O184" s="153" t="e">
        <f ca="1">OFFSET('自動車台帳'!AD185,'自動車台帳'!$AP185,0)</f>
        <v>#N/A</v>
      </c>
      <c r="P184" s="154" t="e">
        <f ca="1">OFFSET('自動車台帳'!AE185,'自動車台帳'!$AP185,0)</f>
        <v>#N/A</v>
      </c>
      <c r="Q184" s="154" t="e">
        <f ca="1">OFFSET('自動車台帳'!AF185,'自動車台帳'!$AP185,0)</f>
        <v>#N/A</v>
      </c>
    </row>
    <row r="185" spans="1:17" ht="13.5">
      <c r="A185" s="148" t="e">
        <f ca="1">OFFSET('自動車台帳'!C186,'自動車台帳'!$AP186,0)</f>
        <v>#N/A</v>
      </c>
      <c r="B185" s="148" t="e">
        <f ca="1">OFFSET('自動車台帳'!D186,'自動車台帳'!$AP186,0)</f>
        <v>#N/A</v>
      </c>
      <c r="C185" s="148" t="e">
        <f ca="1">OFFSET('自動車台帳'!E186,'自動車台帳'!$AP186,0)</f>
        <v>#N/A</v>
      </c>
      <c r="D185" s="148" t="e">
        <f ca="1">OFFSET('自動車台帳'!F186,'自動車台帳'!$AP186,0)</f>
        <v>#N/A</v>
      </c>
      <c r="E185" s="149" t="e">
        <f ca="1">OFFSET('自動車台帳'!G186,'自動車台帳'!$AP186,0)</f>
        <v>#N/A</v>
      </c>
      <c r="F185" s="150" t="e">
        <f ca="1">OFFSET('自動車台帳'!H186,'自動車台帳'!$AP186,0)</f>
        <v>#N/A</v>
      </c>
      <c r="G185" s="148" t="e">
        <f ca="1">OFFSET('自動車台帳'!I186,'自動車台帳'!$AP186,0)</f>
        <v>#N/A</v>
      </c>
      <c r="H185" s="148" t="e">
        <f ca="1">OFFSET('自動車台帳'!J186,'自動車台帳'!$AP186,0)</f>
        <v>#N/A</v>
      </c>
      <c r="I185" s="149" t="e">
        <f ca="1">OFFSET('自動車台帳'!K186,'自動車台帳'!$AP186,0)</f>
        <v>#N/A</v>
      </c>
      <c r="J185" s="151" t="e">
        <f ca="1">OFFSET('自動車台帳'!L186,'自動車台帳'!$AP186,0)</f>
        <v>#N/A</v>
      </c>
      <c r="K185" s="152" t="e">
        <f ca="1">OFFSET('自動車台帳'!M186,'自動車台帳'!$AP186,0)</f>
        <v>#N/A</v>
      </c>
      <c r="L185" s="152" t="e">
        <f ca="1">OFFSET('自動車台帳'!N186,'自動車台帳'!$AP186,0)</f>
        <v>#N/A</v>
      </c>
      <c r="M185" s="148" t="e">
        <f ca="1">OFFSET('自動車台帳'!AB186,'自動車台帳'!$AP186,0)</f>
        <v>#N/A</v>
      </c>
      <c r="N185" s="148" t="e">
        <f ca="1">OFFSET('自動車台帳'!AC186,'自動車台帳'!$AP186,0)</f>
        <v>#N/A</v>
      </c>
      <c r="O185" s="153" t="e">
        <f ca="1">OFFSET('自動車台帳'!AD186,'自動車台帳'!$AP186,0)</f>
        <v>#N/A</v>
      </c>
      <c r="P185" s="154" t="e">
        <f ca="1">OFFSET('自動車台帳'!AE186,'自動車台帳'!$AP186,0)</f>
        <v>#N/A</v>
      </c>
      <c r="Q185" s="154" t="e">
        <f ca="1">OFFSET('自動車台帳'!AF186,'自動車台帳'!$AP186,0)</f>
        <v>#N/A</v>
      </c>
    </row>
    <row r="186" spans="1:17" ht="13.5">
      <c r="A186" s="148" t="e">
        <f ca="1">OFFSET('自動車台帳'!C187,'自動車台帳'!$AP187,0)</f>
        <v>#N/A</v>
      </c>
      <c r="B186" s="148" t="e">
        <f ca="1">OFFSET('自動車台帳'!D187,'自動車台帳'!$AP187,0)</f>
        <v>#N/A</v>
      </c>
      <c r="C186" s="148" t="e">
        <f ca="1">OFFSET('自動車台帳'!E187,'自動車台帳'!$AP187,0)</f>
        <v>#N/A</v>
      </c>
      <c r="D186" s="148" t="e">
        <f ca="1">OFFSET('自動車台帳'!F187,'自動車台帳'!$AP187,0)</f>
        <v>#N/A</v>
      </c>
      <c r="E186" s="149" t="e">
        <f ca="1">OFFSET('自動車台帳'!G187,'自動車台帳'!$AP187,0)</f>
        <v>#N/A</v>
      </c>
      <c r="F186" s="150" t="e">
        <f ca="1">OFFSET('自動車台帳'!H187,'自動車台帳'!$AP187,0)</f>
        <v>#N/A</v>
      </c>
      <c r="G186" s="148" t="e">
        <f ca="1">OFFSET('自動車台帳'!I187,'自動車台帳'!$AP187,0)</f>
        <v>#N/A</v>
      </c>
      <c r="H186" s="148" t="e">
        <f ca="1">OFFSET('自動車台帳'!J187,'自動車台帳'!$AP187,0)</f>
        <v>#N/A</v>
      </c>
      <c r="I186" s="149" t="e">
        <f ca="1">OFFSET('自動車台帳'!K187,'自動車台帳'!$AP187,0)</f>
        <v>#N/A</v>
      </c>
      <c r="J186" s="151" t="e">
        <f ca="1">OFFSET('自動車台帳'!L187,'自動車台帳'!$AP187,0)</f>
        <v>#N/A</v>
      </c>
      <c r="K186" s="152" t="e">
        <f ca="1">OFFSET('自動車台帳'!M187,'自動車台帳'!$AP187,0)</f>
        <v>#N/A</v>
      </c>
      <c r="L186" s="152" t="e">
        <f ca="1">OFFSET('自動車台帳'!N187,'自動車台帳'!$AP187,0)</f>
        <v>#N/A</v>
      </c>
      <c r="M186" s="148" t="e">
        <f ca="1">OFFSET('自動車台帳'!AB187,'自動車台帳'!$AP187,0)</f>
        <v>#N/A</v>
      </c>
      <c r="N186" s="148" t="e">
        <f ca="1">OFFSET('自動車台帳'!AC187,'自動車台帳'!$AP187,0)</f>
        <v>#N/A</v>
      </c>
      <c r="O186" s="153" t="e">
        <f ca="1">OFFSET('自動車台帳'!AD187,'自動車台帳'!$AP187,0)</f>
        <v>#N/A</v>
      </c>
      <c r="P186" s="154" t="e">
        <f ca="1">OFFSET('自動車台帳'!AE187,'自動車台帳'!$AP187,0)</f>
        <v>#N/A</v>
      </c>
      <c r="Q186" s="154" t="e">
        <f ca="1">OFFSET('自動車台帳'!AF187,'自動車台帳'!$AP187,0)</f>
        <v>#N/A</v>
      </c>
    </row>
    <row r="187" spans="1:17" ht="13.5">
      <c r="A187" s="148" t="e">
        <f ca="1">OFFSET('自動車台帳'!C188,'自動車台帳'!$AP188,0)</f>
        <v>#N/A</v>
      </c>
      <c r="B187" s="148" t="e">
        <f ca="1">OFFSET('自動車台帳'!D188,'自動車台帳'!$AP188,0)</f>
        <v>#N/A</v>
      </c>
      <c r="C187" s="148" t="e">
        <f ca="1">OFFSET('自動車台帳'!E188,'自動車台帳'!$AP188,0)</f>
        <v>#N/A</v>
      </c>
      <c r="D187" s="148" t="e">
        <f ca="1">OFFSET('自動車台帳'!F188,'自動車台帳'!$AP188,0)</f>
        <v>#N/A</v>
      </c>
      <c r="E187" s="149" t="e">
        <f ca="1">OFFSET('自動車台帳'!G188,'自動車台帳'!$AP188,0)</f>
        <v>#N/A</v>
      </c>
      <c r="F187" s="150" t="e">
        <f ca="1">OFFSET('自動車台帳'!H188,'自動車台帳'!$AP188,0)</f>
        <v>#N/A</v>
      </c>
      <c r="G187" s="148" t="e">
        <f ca="1">OFFSET('自動車台帳'!I188,'自動車台帳'!$AP188,0)</f>
        <v>#N/A</v>
      </c>
      <c r="H187" s="148" t="e">
        <f ca="1">OFFSET('自動車台帳'!J188,'自動車台帳'!$AP188,0)</f>
        <v>#N/A</v>
      </c>
      <c r="I187" s="149" t="e">
        <f ca="1">OFFSET('自動車台帳'!K188,'自動車台帳'!$AP188,0)</f>
        <v>#N/A</v>
      </c>
      <c r="J187" s="151" t="e">
        <f ca="1">OFFSET('自動車台帳'!L188,'自動車台帳'!$AP188,0)</f>
        <v>#N/A</v>
      </c>
      <c r="K187" s="152" t="e">
        <f ca="1">OFFSET('自動車台帳'!M188,'自動車台帳'!$AP188,0)</f>
        <v>#N/A</v>
      </c>
      <c r="L187" s="152" t="e">
        <f ca="1">OFFSET('自動車台帳'!N188,'自動車台帳'!$AP188,0)</f>
        <v>#N/A</v>
      </c>
      <c r="M187" s="148" t="e">
        <f ca="1">OFFSET('自動車台帳'!AB188,'自動車台帳'!$AP188,0)</f>
        <v>#N/A</v>
      </c>
      <c r="N187" s="148" t="e">
        <f ca="1">OFFSET('自動車台帳'!AC188,'自動車台帳'!$AP188,0)</f>
        <v>#N/A</v>
      </c>
      <c r="O187" s="153" t="e">
        <f ca="1">OFFSET('自動車台帳'!AD188,'自動車台帳'!$AP188,0)</f>
        <v>#N/A</v>
      </c>
      <c r="P187" s="154" t="e">
        <f ca="1">OFFSET('自動車台帳'!AE188,'自動車台帳'!$AP188,0)</f>
        <v>#N/A</v>
      </c>
      <c r="Q187" s="154" t="e">
        <f ca="1">OFFSET('自動車台帳'!AF188,'自動車台帳'!$AP188,0)</f>
        <v>#N/A</v>
      </c>
    </row>
    <row r="188" spans="1:17" ht="13.5">
      <c r="A188" s="148" t="e">
        <f ca="1">OFFSET('自動車台帳'!C189,'自動車台帳'!$AP189,0)</f>
        <v>#N/A</v>
      </c>
      <c r="B188" s="148" t="e">
        <f ca="1">OFFSET('自動車台帳'!D189,'自動車台帳'!$AP189,0)</f>
        <v>#N/A</v>
      </c>
      <c r="C188" s="148" t="e">
        <f ca="1">OFFSET('自動車台帳'!E189,'自動車台帳'!$AP189,0)</f>
        <v>#N/A</v>
      </c>
      <c r="D188" s="148" t="e">
        <f ca="1">OFFSET('自動車台帳'!F189,'自動車台帳'!$AP189,0)</f>
        <v>#N/A</v>
      </c>
      <c r="E188" s="149" t="e">
        <f ca="1">OFFSET('自動車台帳'!G189,'自動車台帳'!$AP189,0)</f>
        <v>#N/A</v>
      </c>
      <c r="F188" s="150" t="e">
        <f ca="1">OFFSET('自動車台帳'!H189,'自動車台帳'!$AP189,0)</f>
        <v>#N/A</v>
      </c>
      <c r="G188" s="148" t="e">
        <f ca="1">OFFSET('自動車台帳'!I189,'自動車台帳'!$AP189,0)</f>
        <v>#N/A</v>
      </c>
      <c r="H188" s="148" t="e">
        <f ca="1">OFFSET('自動車台帳'!J189,'自動車台帳'!$AP189,0)</f>
        <v>#N/A</v>
      </c>
      <c r="I188" s="149" t="e">
        <f ca="1">OFFSET('自動車台帳'!K189,'自動車台帳'!$AP189,0)</f>
        <v>#N/A</v>
      </c>
      <c r="J188" s="151" t="e">
        <f ca="1">OFFSET('自動車台帳'!L189,'自動車台帳'!$AP189,0)</f>
        <v>#N/A</v>
      </c>
      <c r="K188" s="152" t="e">
        <f ca="1">OFFSET('自動車台帳'!M189,'自動車台帳'!$AP189,0)</f>
        <v>#N/A</v>
      </c>
      <c r="L188" s="152" t="e">
        <f ca="1">OFFSET('自動車台帳'!N189,'自動車台帳'!$AP189,0)</f>
        <v>#N/A</v>
      </c>
      <c r="M188" s="148" t="e">
        <f ca="1">OFFSET('自動車台帳'!AB189,'自動車台帳'!$AP189,0)</f>
        <v>#N/A</v>
      </c>
      <c r="N188" s="148" t="e">
        <f ca="1">OFFSET('自動車台帳'!AC189,'自動車台帳'!$AP189,0)</f>
        <v>#N/A</v>
      </c>
      <c r="O188" s="153" t="e">
        <f ca="1">OFFSET('自動車台帳'!AD189,'自動車台帳'!$AP189,0)</f>
        <v>#N/A</v>
      </c>
      <c r="P188" s="154" t="e">
        <f ca="1">OFFSET('自動車台帳'!AE189,'自動車台帳'!$AP189,0)</f>
        <v>#N/A</v>
      </c>
      <c r="Q188" s="154" t="e">
        <f ca="1">OFFSET('自動車台帳'!AF189,'自動車台帳'!$AP189,0)</f>
        <v>#N/A</v>
      </c>
    </row>
    <row r="189" spans="1:17" ht="13.5">
      <c r="A189" s="148" t="e">
        <f ca="1">OFFSET('自動車台帳'!C190,'自動車台帳'!$AP190,0)</f>
        <v>#N/A</v>
      </c>
      <c r="B189" s="148" t="e">
        <f ca="1">OFFSET('自動車台帳'!D190,'自動車台帳'!$AP190,0)</f>
        <v>#N/A</v>
      </c>
      <c r="C189" s="148" t="e">
        <f ca="1">OFFSET('自動車台帳'!E190,'自動車台帳'!$AP190,0)</f>
        <v>#N/A</v>
      </c>
      <c r="D189" s="148" t="e">
        <f ca="1">OFFSET('自動車台帳'!F190,'自動車台帳'!$AP190,0)</f>
        <v>#N/A</v>
      </c>
      <c r="E189" s="149" t="e">
        <f ca="1">OFFSET('自動車台帳'!G190,'自動車台帳'!$AP190,0)</f>
        <v>#N/A</v>
      </c>
      <c r="F189" s="150" t="e">
        <f ca="1">OFFSET('自動車台帳'!H190,'自動車台帳'!$AP190,0)</f>
        <v>#N/A</v>
      </c>
      <c r="G189" s="148" t="e">
        <f ca="1">OFFSET('自動車台帳'!I190,'自動車台帳'!$AP190,0)</f>
        <v>#N/A</v>
      </c>
      <c r="H189" s="148" t="e">
        <f ca="1">OFFSET('自動車台帳'!J190,'自動車台帳'!$AP190,0)</f>
        <v>#N/A</v>
      </c>
      <c r="I189" s="149" t="e">
        <f ca="1">OFFSET('自動車台帳'!K190,'自動車台帳'!$AP190,0)</f>
        <v>#N/A</v>
      </c>
      <c r="J189" s="151" t="e">
        <f ca="1">OFFSET('自動車台帳'!L190,'自動車台帳'!$AP190,0)</f>
        <v>#N/A</v>
      </c>
      <c r="K189" s="152" t="e">
        <f ca="1">OFFSET('自動車台帳'!M190,'自動車台帳'!$AP190,0)</f>
        <v>#N/A</v>
      </c>
      <c r="L189" s="152" t="e">
        <f ca="1">OFFSET('自動車台帳'!N190,'自動車台帳'!$AP190,0)</f>
        <v>#N/A</v>
      </c>
      <c r="M189" s="148" t="e">
        <f ca="1">OFFSET('自動車台帳'!AB190,'自動車台帳'!$AP190,0)</f>
        <v>#N/A</v>
      </c>
      <c r="N189" s="148" t="e">
        <f ca="1">OFFSET('自動車台帳'!AC190,'自動車台帳'!$AP190,0)</f>
        <v>#N/A</v>
      </c>
      <c r="O189" s="153" t="e">
        <f ca="1">OFFSET('自動車台帳'!AD190,'自動車台帳'!$AP190,0)</f>
        <v>#N/A</v>
      </c>
      <c r="P189" s="154" t="e">
        <f ca="1">OFFSET('自動車台帳'!AE190,'自動車台帳'!$AP190,0)</f>
        <v>#N/A</v>
      </c>
      <c r="Q189" s="154" t="e">
        <f ca="1">OFFSET('自動車台帳'!AF190,'自動車台帳'!$AP190,0)</f>
        <v>#N/A</v>
      </c>
    </row>
    <row r="190" spans="1:17" ht="13.5">
      <c r="A190" s="148" t="e">
        <f ca="1">OFFSET('自動車台帳'!C191,'自動車台帳'!$AP191,0)</f>
        <v>#N/A</v>
      </c>
      <c r="B190" s="148" t="e">
        <f ca="1">OFFSET('自動車台帳'!D191,'自動車台帳'!$AP191,0)</f>
        <v>#N/A</v>
      </c>
      <c r="C190" s="148" t="e">
        <f ca="1">OFFSET('自動車台帳'!E191,'自動車台帳'!$AP191,0)</f>
        <v>#N/A</v>
      </c>
      <c r="D190" s="148" t="e">
        <f ca="1">OFFSET('自動車台帳'!F191,'自動車台帳'!$AP191,0)</f>
        <v>#N/A</v>
      </c>
      <c r="E190" s="149" t="e">
        <f ca="1">OFFSET('自動車台帳'!G191,'自動車台帳'!$AP191,0)</f>
        <v>#N/A</v>
      </c>
      <c r="F190" s="150" t="e">
        <f ca="1">OFFSET('自動車台帳'!H191,'自動車台帳'!$AP191,0)</f>
        <v>#N/A</v>
      </c>
      <c r="G190" s="148" t="e">
        <f ca="1">OFFSET('自動車台帳'!I191,'自動車台帳'!$AP191,0)</f>
        <v>#N/A</v>
      </c>
      <c r="H190" s="148" t="e">
        <f ca="1">OFFSET('自動車台帳'!J191,'自動車台帳'!$AP191,0)</f>
        <v>#N/A</v>
      </c>
      <c r="I190" s="149" t="e">
        <f ca="1">OFFSET('自動車台帳'!K191,'自動車台帳'!$AP191,0)</f>
        <v>#N/A</v>
      </c>
      <c r="J190" s="151" t="e">
        <f ca="1">OFFSET('自動車台帳'!L191,'自動車台帳'!$AP191,0)</f>
        <v>#N/A</v>
      </c>
      <c r="K190" s="152" t="e">
        <f ca="1">OFFSET('自動車台帳'!M191,'自動車台帳'!$AP191,0)</f>
        <v>#N/A</v>
      </c>
      <c r="L190" s="152" t="e">
        <f ca="1">OFFSET('自動車台帳'!N191,'自動車台帳'!$AP191,0)</f>
        <v>#N/A</v>
      </c>
      <c r="M190" s="148" t="e">
        <f ca="1">OFFSET('自動車台帳'!AB191,'自動車台帳'!$AP191,0)</f>
        <v>#N/A</v>
      </c>
      <c r="N190" s="148" t="e">
        <f ca="1">OFFSET('自動車台帳'!AC191,'自動車台帳'!$AP191,0)</f>
        <v>#N/A</v>
      </c>
      <c r="O190" s="153" t="e">
        <f ca="1">OFFSET('自動車台帳'!AD191,'自動車台帳'!$AP191,0)</f>
        <v>#N/A</v>
      </c>
      <c r="P190" s="154" t="e">
        <f ca="1">OFFSET('自動車台帳'!AE191,'自動車台帳'!$AP191,0)</f>
        <v>#N/A</v>
      </c>
      <c r="Q190" s="154" t="e">
        <f ca="1">OFFSET('自動車台帳'!AF191,'自動車台帳'!$AP191,0)</f>
        <v>#N/A</v>
      </c>
    </row>
    <row r="191" spans="1:17" ht="13.5">
      <c r="A191" s="148" t="e">
        <f ca="1">OFFSET('自動車台帳'!C192,'自動車台帳'!$AP192,0)</f>
        <v>#N/A</v>
      </c>
      <c r="B191" s="148" t="e">
        <f ca="1">OFFSET('自動車台帳'!D192,'自動車台帳'!$AP192,0)</f>
        <v>#N/A</v>
      </c>
      <c r="C191" s="148" t="e">
        <f ca="1">OFFSET('自動車台帳'!E192,'自動車台帳'!$AP192,0)</f>
        <v>#N/A</v>
      </c>
      <c r="D191" s="148" t="e">
        <f ca="1">OFFSET('自動車台帳'!F192,'自動車台帳'!$AP192,0)</f>
        <v>#N/A</v>
      </c>
      <c r="E191" s="149" t="e">
        <f ca="1">OFFSET('自動車台帳'!G192,'自動車台帳'!$AP192,0)</f>
        <v>#N/A</v>
      </c>
      <c r="F191" s="150" t="e">
        <f ca="1">OFFSET('自動車台帳'!H192,'自動車台帳'!$AP192,0)</f>
        <v>#N/A</v>
      </c>
      <c r="G191" s="148" t="e">
        <f ca="1">OFFSET('自動車台帳'!I192,'自動車台帳'!$AP192,0)</f>
        <v>#N/A</v>
      </c>
      <c r="H191" s="148" t="e">
        <f ca="1">OFFSET('自動車台帳'!J192,'自動車台帳'!$AP192,0)</f>
        <v>#N/A</v>
      </c>
      <c r="I191" s="149" t="e">
        <f ca="1">OFFSET('自動車台帳'!K192,'自動車台帳'!$AP192,0)</f>
        <v>#N/A</v>
      </c>
      <c r="J191" s="151" t="e">
        <f ca="1">OFFSET('自動車台帳'!L192,'自動車台帳'!$AP192,0)</f>
        <v>#N/A</v>
      </c>
      <c r="K191" s="152" t="e">
        <f ca="1">OFFSET('自動車台帳'!M192,'自動車台帳'!$AP192,0)</f>
        <v>#N/A</v>
      </c>
      <c r="L191" s="152" t="e">
        <f ca="1">OFFSET('自動車台帳'!N192,'自動車台帳'!$AP192,0)</f>
        <v>#N/A</v>
      </c>
      <c r="M191" s="148" t="e">
        <f ca="1">OFFSET('自動車台帳'!AB192,'自動車台帳'!$AP192,0)</f>
        <v>#N/A</v>
      </c>
      <c r="N191" s="148" t="e">
        <f ca="1">OFFSET('自動車台帳'!AC192,'自動車台帳'!$AP192,0)</f>
        <v>#N/A</v>
      </c>
      <c r="O191" s="153" t="e">
        <f ca="1">OFFSET('自動車台帳'!AD192,'自動車台帳'!$AP192,0)</f>
        <v>#N/A</v>
      </c>
      <c r="P191" s="154" t="e">
        <f ca="1">OFFSET('自動車台帳'!AE192,'自動車台帳'!$AP192,0)</f>
        <v>#N/A</v>
      </c>
      <c r="Q191" s="154" t="e">
        <f ca="1">OFFSET('自動車台帳'!AF192,'自動車台帳'!$AP192,0)</f>
        <v>#N/A</v>
      </c>
    </row>
    <row r="192" spans="1:17" ht="13.5">
      <c r="A192" s="148" t="e">
        <f ca="1">OFFSET('自動車台帳'!C193,'自動車台帳'!$AP193,0)</f>
        <v>#N/A</v>
      </c>
      <c r="B192" s="148" t="e">
        <f ca="1">OFFSET('自動車台帳'!D193,'自動車台帳'!$AP193,0)</f>
        <v>#N/A</v>
      </c>
      <c r="C192" s="148" t="e">
        <f ca="1">OFFSET('自動車台帳'!E193,'自動車台帳'!$AP193,0)</f>
        <v>#N/A</v>
      </c>
      <c r="D192" s="148" t="e">
        <f ca="1">OFFSET('自動車台帳'!F193,'自動車台帳'!$AP193,0)</f>
        <v>#N/A</v>
      </c>
      <c r="E192" s="149" t="e">
        <f ca="1">OFFSET('自動車台帳'!G193,'自動車台帳'!$AP193,0)</f>
        <v>#N/A</v>
      </c>
      <c r="F192" s="150" t="e">
        <f ca="1">OFFSET('自動車台帳'!H193,'自動車台帳'!$AP193,0)</f>
        <v>#N/A</v>
      </c>
      <c r="G192" s="148" t="e">
        <f ca="1">OFFSET('自動車台帳'!I193,'自動車台帳'!$AP193,0)</f>
        <v>#N/A</v>
      </c>
      <c r="H192" s="148" t="e">
        <f ca="1">OFFSET('自動車台帳'!J193,'自動車台帳'!$AP193,0)</f>
        <v>#N/A</v>
      </c>
      <c r="I192" s="149" t="e">
        <f ca="1">OFFSET('自動車台帳'!K193,'自動車台帳'!$AP193,0)</f>
        <v>#N/A</v>
      </c>
      <c r="J192" s="151" t="e">
        <f ca="1">OFFSET('自動車台帳'!L193,'自動車台帳'!$AP193,0)</f>
        <v>#N/A</v>
      </c>
      <c r="K192" s="152" t="e">
        <f ca="1">OFFSET('自動車台帳'!M193,'自動車台帳'!$AP193,0)</f>
        <v>#N/A</v>
      </c>
      <c r="L192" s="152" t="e">
        <f ca="1">OFFSET('自動車台帳'!N193,'自動車台帳'!$AP193,0)</f>
        <v>#N/A</v>
      </c>
      <c r="M192" s="148" t="e">
        <f ca="1">OFFSET('自動車台帳'!AB193,'自動車台帳'!$AP193,0)</f>
        <v>#N/A</v>
      </c>
      <c r="N192" s="148" t="e">
        <f ca="1">OFFSET('自動車台帳'!AC193,'自動車台帳'!$AP193,0)</f>
        <v>#N/A</v>
      </c>
      <c r="O192" s="153" t="e">
        <f ca="1">OFFSET('自動車台帳'!AD193,'自動車台帳'!$AP193,0)</f>
        <v>#N/A</v>
      </c>
      <c r="P192" s="154" t="e">
        <f ca="1">OFFSET('自動車台帳'!AE193,'自動車台帳'!$AP193,0)</f>
        <v>#N/A</v>
      </c>
      <c r="Q192" s="154" t="e">
        <f ca="1">OFFSET('自動車台帳'!AF193,'自動車台帳'!$AP193,0)</f>
        <v>#N/A</v>
      </c>
    </row>
    <row r="193" spans="1:17" ht="13.5">
      <c r="A193" s="148" t="e">
        <f ca="1">OFFSET('自動車台帳'!C194,'自動車台帳'!$AP194,0)</f>
        <v>#N/A</v>
      </c>
      <c r="B193" s="148" t="e">
        <f ca="1">OFFSET('自動車台帳'!D194,'自動車台帳'!$AP194,0)</f>
        <v>#N/A</v>
      </c>
      <c r="C193" s="148" t="e">
        <f ca="1">OFFSET('自動車台帳'!E194,'自動車台帳'!$AP194,0)</f>
        <v>#N/A</v>
      </c>
      <c r="D193" s="148" t="e">
        <f ca="1">OFFSET('自動車台帳'!F194,'自動車台帳'!$AP194,0)</f>
        <v>#N/A</v>
      </c>
      <c r="E193" s="149" t="e">
        <f ca="1">OFFSET('自動車台帳'!G194,'自動車台帳'!$AP194,0)</f>
        <v>#N/A</v>
      </c>
      <c r="F193" s="150" t="e">
        <f ca="1">OFFSET('自動車台帳'!H194,'自動車台帳'!$AP194,0)</f>
        <v>#N/A</v>
      </c>
      <c r="G193" s="148" t="e">
        <f ca="1">OFFSET('自動車台帳'!I194,'自動車台帳'!$AP194,0)</f>
        <v>#N/A</v>
      </c>
      <c r="H193" s="148" t="e">
        <f ca="1">OFFSET('自動車台帳'!J194,'自動車台帳'!$AP194,0)</f>
        <v>#N/A</v>
      </c>
      <c r="I193" s="149" t="e">
        <f ca="1">OFFSET('自動車台帳'!K194,'自動車台帳'!$AP194,0)</f>
        <v>#N/A</v>
      </c>
      <c r="J193" s="151" t="e">
        <f ca="1">OFFSET('自動車台帳'!L194,'自動車台帳'!$AP194,0)</f>
        <v>#N/A</v>
      </c>
      <c r="K193" s="152" t="e">
        <f ca="1">OFFSET('自動車台帳'!M194,'自動車台帳'!$AP194,0)</f>
        <v>#N/A</v>
      </c>
      <c r="L193" s="152" t="e">
        <f ca="1">OFFSET('自動車台帳'!N194,'自動車台帳'!$AP194,0)</f>
        <v>#N/A</v>
      </c>
      <c r="M193" s="148" t="e">
        <f ca="1">OFFSET('自動車台帳'!AB194,'自動車台帳'!$AP194,0)</f>
        <v>#N/A</v>
      </c>
      <c r="N193" s="148" t="e">
        <f ca="1">OFFSET('自動車台帳'!AC194,'自動車台帳'!$AP194,0)</f>
        <v>#N/A</v>
      </c>
      <c r="O193" s="153" t="e">
        <f ca="1">OFFSET('自動車台帳'!AD194,'自動車台帳'!$AP194,0)</f>
        <v>#N/A</v>
      </c>
      <c r="P193" s="154" t="e">
        <f ca="1">OFFSET('自動車台帳'!AE194,'自動車台帳'!$AP194,0)</f>
        <v>#N/A</v>
      </c>
      <c r="Q193" s="154" t="e">
        <f ca="1">OFFSET('自動車台帳'!AF194,'自動車台帳'!$AP194,0)</f>
        <v>#N/A</v>
      </c>
    </row>
    <row r="194" spans="1:17" ht="13.5">
      <c r="A194" s="148" t="e">
        <f ca="1">OFFSET('自動車台帳'!C195,'自動車台帳'!$AP195,0)</f>
        <v>#N/A</v>
      </c>
      <c r="B194" s="148" t="e">
        <f ca="1">OFFSET('自動車台帳'!D195,'自動車台帳'!$AP195,0)</f>
        <v>#N/A</v>
      </c>
      <c r="C194" s="148" t="e">
        <f ca="1">OFFSET('自動車台帳'!E195,'自動車台帳'!$AP195,0)</f>
        <v>#N/A</v>
      </c>
      <c r="D194" s="148" t="e">
        <f ca="1">OFFSET('自動車台帳'!F195,'自動車台帳'!$AP195,0)</f>
        <v>#N/A</v>
      </c>
      <c r="E194" s="149" t="e">
        <f ca="1">OFFSET('自動車台帳'!G195,'自動車台帳'!$AP195,0)</f>
        <v>#N/A</v>
      </c>
      <c r="F194" s="150" t="e">
        <f ca="1">OFFSET('自動車台帳'!H195,'自動車台帳'!$AP195,0)</f>
        <v>#N/A</v>
      </c>
      <c r="G194" s="148" t="e">
        <f ca="1">OFFSET('自動車台帳'!I195,'自動車台帳'!$AP195,0)</f>
        <v>#N/A</v>
      </c>
      <c r="H194" s="148" t="e">
        <f ca="1">OFFSET('自動車台帳'!J195,'自動車台帳'!$AP195,0)</f>
        <v>#N/A</v>
      </c>
      <c r="I194" s="149" t="e">
        <f ca="1">OFFSET('自動車台帳'!K195,'自動車台帳'!$AP195,0)</f>
        <v>#N/A</v>
      </c>
      <c r="J194" s="151" t="e">
        <f ca="1">OFFSET('自動車台帳'!L195,'自動車台帳'!$AP195,0)</f>
        <v>#N/A</v>
      </c>
      <c r="K194" s="152" t="e">
        <f ca="1">OFFSET('自動車台帳'!M195,'自動車台帳'!$AP195,0)</f>
        <v>#N/A</v>
      </c>
      <c r="L194" s="152" t="e">
        <f ca="1">OFFSET('自動車台帳'!N195,'自動車台帳'!$AP195,0)</f>
        <v>#N/A</v>
      </c>
      <c r="M194" s="148" t="e">
        <f ca="1">OFFSET('自動車台帳'!AB195,'自動車台帳'!$AP195,0)</f>
        <v>#N/A</v>
      </c>
      <c r="N194" s="148" t="e">
        <f ca="1">OFFSET('自動車台帳'!AC195,'自動車台帳'!$AP195,0)</f>
        <v>#N/A</v>
      </c>
      <c r="O194" s="153" t="e">
        <f ca="1">OFFSET('自動車台帳'!AD195,'自動車台帳'!$AP195,0)</f>
        <v>#N/A</v>
      </c>
      <c r="P194" s="154" t="e">
        <f ca="1">OFFSET('自動車台帳'!AE195,'自動車台帳'!$AP195,0)</f>
        <v>#N/A</v>
      </c>
      <c r="Q194" s="154" t="e">
        <f ca="1">OFFSET('自動車台帳'!AF195,'自動車台帳'!$AP195,0)</f>
        <v>#N/A</v>
      </c>
    </row>
    <row r="195" spans="1:17" ht="13.5">
      <c r="A195" s="148" t="e">
        <f ca="1">OFFSET('自動車台帳'!C196,'自動車台帳'!$AP196,0)</f>
        <v>#N/A</v>
      </c>
      <c r="B195" s="148" t="e">
        <f ca="1">OFFSET('自動車台帳'!D196,'自動車台帳'!$AP196,0)</f>
        <v>#N/A</v>
      </c>
      <c r="C195" s="148" t="e">
        <f ca="1">OFFSET('自動車台帳'!E196,'自動車台帳'!$AP196,0)</f>
        <v>#N/A</v>
      </c>
      <c r="D195" s="148" t="e">
        <f ca="1">OFFSET('自動車台帳'!F196,'自動車台帳'!$AP196,0)</f>
        <v>#N/A</v>
      </c>
      <c r="E195" s="149" t="e">
        <f ca="1">OFFSET('自動車台帳'!G196,'自動車台帳'!$AP196,0)</f>
        <v>#N/A</v>
      </c>
      <c r="F195" s="150" t="e">
        <f ca="1">OFFSET('自動車台帳'!H196,'自動車台帳'!$AP196,0)</f>
        <v>#N/A</v>
      </c>
      <c r="G195" s="148" t="e">
        <f ca="1">OFFSET('自動車台帳'!I196,'自動車台帳'!$AP196,0)</f>
        <v>#N/A</v>
      </c>
      <c r="H195" s="148" t="e">
        <f ca="1">OFFSET('自動車台帳'!J196,'自動車台帳'!$AP196,0)</f>
        <v>#N/A</v>
      </c>
      <c r="I195" s="149" t="e">
        <f ca="1">OFFSET('自動車台帳'!K196,'自動車台帳'!$AP196,0)</f>
        <v>#N/A</v>
      </c>
      <c r="J195" s="151" t="e">
        <f ca="1">OFFSET('自動車台帳'!L196,'自動車台帳'!$AP196,0)</f>
        <v>#N/A</v>
      </c>
      <c r="K195" s="152" t="e">
        <f ca="1">OFFSET('自動車台帳'!M196,'自動車台帳'!$AP196,0)</f>
        <v>#N/A</v>
      </c>
      <c r="L195" s="152" t="e">
        <f ca="1">OFFSET('自動車台帳'!N196,'自動車台帳'!$AP196,0)</f>
        <v>#N/A</v>
      </c>
      <c r="M195" s="148" t="e">
        <f ca="1">OFFSET('自動車台帳'!AB196,'自動車台帳'!$AP196,0)</f>
        <v>#N/A</v>
      </c>
      <c r="N195" s="148" t="e">
        <f ca="1">OFFSET('自動車台帳'!AC196,'自動車台帳'!$AP196,0)</f>
        <v>#N/A</v>
      </c>
      <c r="O195" s="153" t="e">
        <f ca="1">OFFSET('自動車台帳'!AD196,'自動車台帳'!$AP196,0)</f>
        <v>#N/A</v>
      </c>
      <c r="P195" s="154" t="e">
        <f ca="1">OFFSET('自動車台帳'!AE196,'自動車台帳'!$AP196,0)</f>
        <v>#N/A</v>
      </c>
      <c r="Q195" s="154" t="e">
        <f ca="1">OFFSET('自動車台帳'!AF196,'自動車台帳'!$AP196,0)</f>
        <v>#N/A</v>
      </c>
    </row>
    <row r="196" spans="1:17" ht="13.5">
      <c r="A196" s="148" t="e">
        <f ca="1">OFFSET('自動車台帳'!C197,'自動車台帳'!$AP197,0)</f>
        <v>#N/A</v>
      </c>
      <c r="B196" s="148" t="e">
        <f ca="1">OFFSET('自動車台帳'!D197,'自動車台帳'!$AP197,0)</f>
        <v>#N/A</v>
      </c>
      <c r="C196" s="148" t="e">
        <f ca="1">OFFSET('自動車台帳'!E197,'自動車台帳'!$AP197,0)</f>
        <v>#N/A</v>
      </c>
      <c r="D196" s="148" t="e">
        <f ca="1">OFFSET('自動車台帳'!F197,'自動車台帳'!$AP197,0)</f>
        <v>#N/A</v>
      </c>
      <c r="E196" s="149" t="e">
        <f ca="1">OFFSET('自動車台帳'!G197,'自動車台帳'!$AP197,0)</f>
        <v>#N/A</v>
      </c>
      <c r="F196" s="150" t="e">
        <f ca="1">OFFSET('自動車台帳'!H197,'自動車台帳'!$AP197,0)</f>
        <v>#N/A</v>
      </c>
      <c r="G196" s="148" t="e">
        <f ca="1">OFFSET('自動車台帳'!I197,'自動車台帳'!$AP197,0)</f>
        <v>#N/A</v>
      </c>
      <c r="H196" s="148" t="e">
        <f ca="1">OFFSET('自動車台帳'!J197,'自動車台帳'!$AP197,0)</f>
        <v>#N/A</v>
      </c>
      <c r="I196" s="149" t="e">
        <f ca="1">OFFSET('自動車台帳'!K197,'自動車台帳'!$AP197,0)</f>
        <v>#N/A</v>
      </c>
      <c r="J196" s="151" t="e">
        <f ca="1">OFFSET('自動車台帳'!L197,'自動車台帳'!$AP197,0)</f>
        <v>#N/A</v>
      </c>
      <c r="K196" s="152" t="e">
        <f ca="1">OFFSET('自動車台帳'!M197,'自動車台帳'!$AP197,0)</f>
        <v>#N/A</v>
      </c>
      <c r="L196" s="152" t="e">
        <f ca="1">OFFSET('自動車台帳'!N197,'自動車台帳'!$AP197,0)</f>
        <v>#N/A</v>
      </c>
      <c r="M196" s="148" t="e">
        <f ca="1">OFFSET('自動車台帳'!AB197,'自動車台帳'!$AP197,0)</f>
        <v>#N/A</v>
      </c>
      <c r="N196" s="148" t="e">
        <f ca="1">OFFSET('自動車台帳'!AC197,'自動車台帳'!$AP197,0)</f>
        <v>#N/A</v>
      </c>
      <c r="O196" s="153" t="e">
        <f ca="1">OFFSET('自動車台帳'!AD197,'自動車台帳'!$AP197,0)</f>
        <v>#N/A</v>
      </c>
      <c r="P196" s="154" t="e">
        <f ca="1">OFFSET('自動車台帳'!AE197,'自動車台帳'!$AP197,0)</f>
        <v>#N/A</v>
      </c>
      <c r="Q196" s="154" t="e">
        <f ca="1">OFFSET('自動車台帳'!AF197,'自動車台帳'!$AP197,0)</f>
        <v>#N/A</v>
      </c>
    </row>
    <row r="197" spans="1:17" ht="13.5">
      <c r="A197" s="148" t="e">
        <f ca="1">OFFSET('自動車台帳'!C198,'自動車台帳'!$AP198,0)</f>
        <v>#N/A</v>
      </c>
      <c r="B197" s="148" t="e">
        <f ca="1">OFFSET('自動車台帳'!D198,'自動車台帳'!$AP198,0)</f>
        <v>#N/A</v>
      </c>
      <c r="C197" s="148" t="e">
        <f ca="1">OFFSET('自動車台帳'!E198,'自動車台帳'!$AP198,0)</f>
        <v>#N/A</v>
      </c>
      <c r="D197" s="148" t="e">
        <f ca="1">OFFSET('自動車台帳'!F198,'自動車台帳'!$AP198,0)</f>
        <v>#N/A</v>
      </c>
      <c r="E197" s="149" t="e">
        <f ca="1">OFFSET('自動車台帳'!G198,'自動車台帳'!$AP198,0)</f>
        <v>#N/A</v>
      </c>
      <c r="F197" s="150" t="e">
        <f ca="1">OFFSET('自動車台帳'!H198,'自動車台帳'!$AP198,0)</f>
        <v>#N/A</v>
      </c>
      <c r="G197" s="148" t="e">
        <f ca="1">OFFSET('自動車台帳'!I198,'自動車台帳'!$AP198,0)</f>
        <v>#N/A</v>
      </c>
      <c r="H197" s="148" t="e">
        <f ca="1">OFFSET('自動車台帳'!J198,'自動車台帳'!$AP198,0)</f>
        <v>#N/A</v>
      </c>
      <c r="I197" s="149" t="e">
        <f ca="1">OFFSET('自動車台帳'!K198,'自動車台帳'!$AP198,0)</f>
        <v>#N/A</v>
      </c>
      <c r="J197" s="151" t="e">
        <f ca="1">OFFSET('自動車台帳'!L198,'自動車台帳'!$AP198,0)</f>
        <v>#N/A</v>
      </c>
      <c r="K197" s="152" t="e">
        <f ca="1">OFFSET('自動車台帳'!M198,'自動車台帳'!$AP198,0)</f>
        <v>#N/A</v>
      </c>
      <c r="L197" s="152" t="e">
        <f ca="1">OFFSET('自動車台帳'!N198,'自動車台帳'!$AP198,0)</f>
        <v>#N/A</v>
      </c>
      <c r="M197" s="148" t="e">
        <f ca="1">OFFSET('自動車台帳'!AB198,'自動車台帳'!$AP198,0)</f>
        <v>#N/A</v>
      </c>
      <c r="N197" s="148" t="e">
        <f ca="1">OFFSET('自動車台帳'!AC198,'自動車台帳'!$AP198,0)</f>
        <v>#N/A</v>
      </c>
      <c r="O197" s="153" t="e">
        <f ca="1">OFFSET('自動車台帳'!AD198,'自動車台帳'!$AP198,0)</f>
        <v>#N/A</v>
      </c>
      <c r="P197" s="154" t="e">
        <f ca="1">OFFSET('自動車台帳'!AE198,'自動車台帳'!$AP198,0)</f>
        <v>#N/A</v>
      </c>
      <c r="Q197" s="154" t="e">
        <f ca="1">OFFSET('自動車台帳'!AF198,'自動車台帳'!$AP198,0)</f>
        <v>#N/A</v>
      </c>
    </row>
    <row r="198" spans="1:17" ht="13.5">
      <c r="A198" s="148" t="e">
        <f ca="1">OFFSET('自動車台帳'!C199,'自動車台帳'!$AP199,0)</f>
        <v>#N/A</v>
      </c>
      <c r="B198" s="148" t="e">
        <f ca="1">OFFSET('自動車台帳'!D199,'自動車台帳'!$AP199,0)</f>
        <v>#N/A</v>
      </c>
      <c r="C198" s="148" t="e">
        <f ca="1">OFFSET('自動車台帳'!E199,'自動車台帳'!$AP199,0)</f>
        <v>#N/A</v>
      </c>
      <c r="D198" s="148" t="e">
        <f ca="1">OFFSET('自動車台帳'!F199,'自動車台帳'!$AP199,0)</f>
        <v>#N/A</v>
      </c>
      <c r="E198" s="149" t="e">
        <f ca="1">OFFSET('自動車台帳'!G199,'自動車台帳'!$AP199,0)</f>
        <v>#N/A</v>
      </c>
      <c r="F198" s="150" t="e">
        <f ca="1">OFFSET('自動車台帳'!H199,'自動車台帳'!$AP199,0)</f>
        <v>#N/A</v>
      </c>
      <c r="G198" s="148" t="e">
        <f ca="1">OFFSET('自動車台帳'!I199,'自動車台帳'!$AP199,0)</f>
        <v>#N/A</v>
      </c>
      <c r="H198" s="148" t="e">
        <f ca="1">OFFSET('自動車台帳'!J199,'自動車台帳'!$AP199,0)</f>
        <v>#N/A</v>
      </c>
      <c r="I198" s="149" t="e">
        <f ca="1">OFFSET('自動車台帳'!K199,'自動車台帳'!$AP199,0)</f>
        <v>#N/A</v>
      </c>
      <c r="J198" s="151" t="e">
        <f ca="1">OFFSET('自動車台帳'!L199,'自動車台帳'!$AP199,0)</f>
        <v>#N/A</v>
      </c>
      <c r="K198" s="152" t="e">
        <f ca="1">OFFSET('自動車台帳'!M199,'自動車台帳'!$AP199,0)</f>
        <v>#N/A</v>
      </c>
      <c r="L198" s="152" t="e">
        <f ca="1">OFFSET('自動車台帳'!N199,'自動車台帳'!$AP199,0)</f>
        <v>#N/A</v>
      </c>
      <c r="M198" s="148" t="e">
        <f ca="1">OFFSET('自動車台帳'!AB199,'自動車台帳'!$AP199,0)</f>
        <v>#N/A</v>
      </c>
      <c r="N198" s="148" t="e">
        <f ca="1">OFFSET('自動車台帳'!AC199,'自動車台帳'!$AP199,0)</f>
        <v>#N/A</v>
      </c>
      <c r="O198" s="153" t="e">
        <f ca="1">OFFSET('自動車台帳'!AD199,'自動車台帳'!$AP199,0)</f>
        <v>#N/A</v>
      </c>
      <c r="P198" s="154" t="e">
        <f ca="1">OFFSET('自動車台帳'!AE199,'自動車台帳'!$AP199,0)</f>
        <v>#N/A</v>
      </c>
      <c r="Q198" s="154" t="e">
        <f ca="1">OFFSET('自動車台帳'!AF199,'自動車台帳'!$AP199,0)</f>
        <v>#N/A</v>
      </c>
    </row>
    <row r="199" spans="1:17" ht="13.5">
      <c r="A199" s="148" t="e">
        <f ca="1">OFFSET('自動車台帳'!C200,'自動車台帳'!$AP200,0)</f>
        <v>#N/A</v>
      </c>
      <c r="B199" s="148" t="e">
        <f ca="1">OFFSET('自動車台帳'!D200,'自動車台帳'!$AP200,0)</f>
        <v>#N/A</v>
      </c>
      <c r="C199" s="148" t="e">
        <f ca="1">OFFSET('自動車台帳'!E200,'自動車台帳'!$AP200,0)</f>
        <v>#N/A</v>
      </c>
      <c r="D199" s="148" t="e">
        <f ca="1">OFFSET('自動車台帳'!F200,'自動車台帳'!$AP200,0)</f>
        <v>#N/A</v>
      </c>
      <c r="E199" s="149" t="e">
        <f ca="1">OFFSET('自動車台帳'!G200,'自動車台帳'!$AP200,0)</f>
        <v>#N/A</v>
      </c>
      <c r="F199" s="150" t="e">
        <f ca="1">OFFSET('自動車台帳'!H200,'自動車台帳'!$AP200,0)</f>
        <v>#N/A</v>
      </c>
      <c r="G199" s="148" t="e">
        <f ca="1">OFFSET('自動車台帳'!I200,'自動車台帳'!$AP200,0)</f>
        <v>#N/A</v>
      </c>
      <c r="H199" s="148" t="e">
        <f ca="1">OFFSET('自動車台帳'!J200,'自動車台帳'!$AP200,0)</f>
        <v>#N/A</v>
      </c>
      <c r="I199" s="149" t="e">
        <f ca="1">OFFSET('自動車台帳'!K200,'自動車台帳'!$AP200,0)</f>
        <v>#N/A</v>
      </c>
      <c r="J199" s="151" t="e">
        <f ca="1">OFFSET('自動車台帳'!L200,'自動車台帳'!$AP200,0)</f>
        <v>#N/A</v>
      </c>
      <c r="K199" s="152" t="e">
        <f ca="1">OFFSET('自動車台帳'!M200,'自動車台帳'!$AP200,0)</f>
        <v>#N/A</v>
      </c>
      <c r="L199" s="152" t="e">
        <f ca="1">OFFSET('自動車台帳'!N200,'自動車台帳'!$AP200,0)</f>
        <v>#N/A</v>
      </c>
      <c r="M199" s="148" t="e">
        <f ca="1">OFFSET('自動車台帳'!AB200,'自動車台帳'!$AP200,0)</f>
        <v>#N/A</v>
      </c>
      <c r="N199" s="148" t="e">
        <f ca="1">OFFSET('自動車台帳'!AC200,'自動車台帳'!$AP200,0)</f>
        <v>#N/A</v>
      </c>
      <c r="O199" s="153" t="e">
        <f ca="1">OFFSET('自動車台帳'!AD200,'自動車台帳'!$AP200,0)</f>
        <v>#N/A</v>
      </c>
      <c r="P199" s="154" t="e">
        <f ca="1">OFFSET('自動車台帳'!AE200,'自動車台帳'!$AP200,0)</f>
        <v>#N/A</v>
      </c>
      <c r="Q199" s="154" t="e">
        <f ca="1">OFFSET('自動車台帳'!AF200,'自動車台帳'!$AP200,0)</f>
        <v>#N/A</v>
      </c>
    </row>
    <row r="200" spans="1:17" ht="13.5">
      <c r="A200" s="148" t="e">
        <f ca="1">OFFSET('自動車台帳'!C201,'自動車台帳'!$AP201,0)</f>
        <v>#N/A</v>
      </c>
      <c r="B200" s="148" t="e">
        <f ca="1">OFFSET('自動車台帳'!D201,'自動車台帳'!$AP201,0)</f>
        <v>#N/A</v>
      </c>
      <c r="C200" s="148" t="e">
        <f ca="1">OFFSET('自動車台帳'!E201,'自動車台帳'!$AP201,0)</f>
        <v>#N/A</v>
      </c>
      <c r="D200" s="148" t="e">
        <f ca="1">OFFSET('自動車台帳'!F201,'自動車台帳'!$AP201,0)</f>
        <v>#N/A</v>
      </c>
      <c r="E200" s="149" t="e">
        <f ca="1">OFFSET('自動車台帳'!G201,'自動車台帳'!$AP201,0)</f>
        <v>#N/A</v>
      </c>
      <c r="F200" s="150" t="e">
        <f ca="1">OFFSET('自動車台帳'!H201,'自動車台帳'!$AP201,0)</f>
        <v>#N/A</v>
      </c>
      <c r="G200" s="148" t="e">
        <f ca="1">OFFSET('自動車台帳'!I201,'自動車台帳'!$AP201,0)</f>
        <v>#N/A</v>
      </c>
      <c r="H200" s="148" t="e">
        <f ca="1">OFFSET('自動車台帳'!J201,'自動車台帳'!$AP201,0)</f>
        <v>#N/A</v>
      </c>
      <c r="I200" s="149" t="e">
        <f ca="1">OFFSET('自動車台帳'!K201,'自動車台帳'!$AP201,0)</f>
        <v>#N/A</v>
      </c>
      <c r="J200" s="151" t="e">
        <f ca="1">OFFSET('自動車台帳'!L201,'自動車台帳'!$AP201,0)</f>
        <v>#N/A</v>
      </c>
      <c r="K200" s="152" t="e">
        <f ca="1">OFFSET('自動車台帳'!M201,'自動車台帳'!$AP201,0)</f>
        <v>#N/A</v>
      </c>
      <c r="L200" s="152" t="e">
        <f ca="1">OFFSET('自動車台帳'!N201,'自動車台帳'!$AP201,0)</f>
        <v>#N/A</v>
      </c>
      <c r="M200" s="148" t="e">
        <f ca="1">OFFSET('自動車台帳'!AB201,'自動車台帳'!$AP201,0)</f>
        <v>#N/A</v>
      </c>
      <c r="N200" s="148" t="e">
        <f ca="1">OFFSET('自動車台帳'!AC201,'自動車台帳'!$AP201,0)</f>
        <v>#N/A</v>
      </c>
      <c r="O200" s="153" t="e">
        <f ca="1">OFFSET('自動車台帳'!AD201,'自動車台帳'!$AP201,0)</f>
        <v>#N/A</v>
      </c>
      <c r="P200" s="154" t="e">
        <f ca="1">OFFSET('自動車台帳'!AE201,'自動車台帳'!$AP201,0)</f>
        <v>#N/A</v>
      </c>
      <c r="Q200" s="154" t="e">
        <f ca="1">OFFSET('自動車台帳'!AF201,'自動車台帳'!$AP201,0)</f>
        <v>#N/A</v>
      </c>
    </row>
    <row r="201" spans="1:17" ht="13.5">
      <c r="A201" s="148" t="e">
        <f ca="1">OFFSET('自動車台帳'!C202,'自動車台帳'!$AP202,0)</f>
        <v>#N/A</v>
      </c>
      <c r="B201" s="148" t="e">
        <f ca="1">OFFSET('自動車台帳'!D202,'自動車台帳'!$AP202,0)</f>
        <v>#N/A</v>
      </c>
      <c r="C201" s="148" t="e">
        <f ca="1">OFFSET('自動車台帳'!E202,'自動車台帳'!$AP202,0)</f>
        <v>#N/A</v>
      </c>
      <c r="D201" s="148" t="e">
        <f ca="1">OFFSET('自動車台帳'!F202,'自動車台帳'!$AP202,0)</f>
        <v>#N/A</v>
      </c>
      <c r="E201" s="149" t="e">
        <f ca="1">OFFSET('自動車台帳'!G202,'自動車台帳'!$AP202,0)</f>
        <v>#N/A</v>
      </c>
      <c r="F201" s="150" t="e">
        <f ca="1">OFFSET('自動車台帳'!H202,'自動車台帳'!$AP202,0)</f>
        <v>#N/A</v>
      </c>
      <c r="G201" s="148" t="e">
        <f ca="1">OFFSET('自動車台帳'!I202,'自動車台帳'!$AP202,0)</f>
        <v>#N/A</v>
      </c>
      <c r="H201" s="148" t="e">
        <f ca="1">OFFSET('自動車台帳'!J202,'自動車台帳'!$AP202,0)</f>
        <v>#N/A</v>
      </c>
      <c r="I201" s="149" t="e">
        <f ca="1">OFFSET('自動車台帳'!K202,'自動車台帳'!$AP202,0)</f>
        <v>#N/A</v>
      </c>
      <c r="J201" s="151" t="e">
        <f ca="1">OFFSET('自動車台帳'!L202,'自動車台帳'!$AP202,0)</f>
        <v>#N/A</v>
      </c>
      <c r="K201" s="152" t="e">
        <f ca="1">OFFSET('自動車台帳'!M202,'自動車台帳'!$AP202,0)</f>
        <v>#N/A</v>
      </c>
      <c r="L201" s="152" t="e">
        <f ca="1">OFFSET('自動車台帳'!N202,'自動車台帳'!$AP202,0)</f>
        <v>#N/A</v>
      </c>
      <c r="M201" s="148" t="e">
        <f ca="1">OFFSET('自動車台帳'!AB202,'自動車台帳'!$AP202,0)</f>
        <v>#N/A</v>
      </c>
      <c r="N201" s="148" t="e">
        <f ca="1">OFFSET('自動車台帳'!AC202,'自動車台帳'!$AP202,0)</f>
        <v>#N/A</v>
      </c>
      <c r="O201" s="153" t="e">
        <f ca="1">OFFSET('自動車台帳'!AD202,'自動車台帳'!$AP202,0)</f>
        <v>#N/A</v>
      </c>
      <c r="P201" s="154" t="e">
        <f ca="1">OFFSET('自動車台帳'!AE202,'自動車台帳'!$AP202,0)</f>
        <v>#N/A</v>
      </c>
      <c r="Q201" s="154" t="e">
        <f ca="1">OFFSET('自動車台帳'!AF202,'自動車台帳'!$AP202,0)</f>
        <v>#N/A</v>
      </c>
    </row>
    <row r="202" spans="1:17" ht="13.5">
      <c r="A202" s="148" t="e">
        <f ca="1">OFFSET('自動車台帳'!C203,'自動車台帳'!$AP203,0)</f>
        <v>#N/A</v>
      </c>
      <c r="B202" s="148" t="e">
        <f ca="1">OFFSET('自動車台帳'!D203,'自動車台帳'!$AP203,0)</f>
        <v>#N/A</v>
      </c>
      <c r="C202" s="148" t="e">
        <f ca="1">OFFSET('自動車台帳'!E203,'自動車台帳'!$AP203,0)</f>
        <v>#N/A</v>
      </c>
      <c r="D202" s="148" t="e">
        <f ca="1">OFFSET('自動車台帳'!F203,'自動車台帳'!$AP203,0)</f>
        <v>#N/A</v>
      </c>
      <c r="E202" s="149" t="e">
        <f ca="1">OFFSET('自動車台帳'!G203,'自動車台帳'!$AP203,0)</f>
        <v>#N/A</v>
      </c>
      <c r="F202" s="150" t="e">
        <f ca="1">OFFSET('自動車台帳'!H203,'自動車台帳'!$AP203,0)</f>
        <v>#N/A</v>
      </c>
      <c r="G202" s="148" t="e">
        <f ca="1">OFFSET('自動車台帳'!I203,'自動車台帳'!$AP203,0)</f>
        <v>#N/A</v>
      </c>
      <c r="H202" s="148" t="e">
        <f ca="1">OFFSET('自動車台帳'!J203,'自動車台帳'!$AP203,0)</f>
        <v>#N/A</v>
      </c>
      <c r="I202" s="149" t="e">
        <f ca="1">OFFSET('自動車台帳'!K203,'自動車台帳'!$AP203,0)</f>
        <v>#N/A</v>
      </c>
      <c r="J202" s="151" t="e">
        <f ca="1">OFFSET('自動車台帳'!L203,'自動車台帳'!$AP203,0)</f>
        <v>#N/A</v>
      </c>
      <c r="K202" s="152" t="e">
        <f ca="1">OFFSET('自動車台帳'!M203,'自動車台帳'!$AP203,0)</f>
        <v>#N/A</v>
      </c>
      <c r="L202" s="152" t="e">
        <f ca="1">OFFSET('自動車台帳'!N203,'自動車台帳'!$AP203,0)</f>
        <v>#N/A</v>
      </c>
      <c r="M202" s="148" t="e">
        <f ca="1">OFFSET('自動車台帳'!AB203,'自動車台帳'!$AP203,0)</f>
        <v>#N/A</v>
      </c>
      <c r="N202" s="148" t="e">
        <f ca="1">OFFSET('自動車台帳'!AC203,'自動車台帳'!$AP203,0)</f>
        <v>#N/A</v>
      </c>
      <c r="O202" s="153" t="e">
        <f ca="1">OFFSET('自動車台帳'!AD203,'自動車台帳'!$AP203,0)</f>
        <v>#N/A</v>
      </c>
      <c r="P202" s="154" t="e">
        <f ca="1">OFFSET('自動車台帳'!AE203,'自動車台帳'!$AP203,0)</f>
        <v>#N/A</v>
      </c>
      <c r="Q202" s="154" t="e">
        <f ca="1">OFFSET('自動車台帳'!AF203,'自動車台帳'!$AP203,0)</f>
        <v>#N/A</v>
      </c>
    </row>
    <row r="203" spans="1:17" ht="13.5">
      <c r="A203" s="148" t="e">
        <f ca="1">OFFSET('自動車台帳'!C204,'自動車台帳'!$AP204,0)</f>
        <v>#N/A</v>
      </c>
      <c r="B203" s="148" t="e">
        <f ca="1">OFFSET('自動車台帳'!D204,'自動車台帳'!$AP204,0)</f>
        <v>#N/A</v>
      </c>
      <c r="C203" s="148" t="e">
        <f ca="1">OFFSET('自動車台帳'!E204,'自動車台帳'!$AP204,0)</f>
        <v>#N/A</v>
      </c>
      <c r="D203" s="148" t="e">
        <f ca="1">OFFSET('自動車台帳'!F204,'自動車台帳'!$AP204,0)</f>
        <v>#N/A</v>
      </c>
      <c r="E203" s="149" t="e">
        <f ca="1">OFFSET('自動車台帳'!G204,'自動車台帳'!$AP204,0)</f>
        <v>#N/A</v>
      </c>
      <c r="F203" s="150" t="e">
        <f ca="1">OFFSET('自動車台帳'!H204,'自動車台帳'!$AP204,0)</f>
        <v>#N/A</v>
      </c>
      <c r="G203" s="148" t="e">
        <f ca="1">OFFSET('自動車台帳'!I204,'自動車台帳'!$AP204,0)</f>
        <v>#N/A</v>
      </c>
      <c r="H203" s="148" t="e">
        <f ca="1">OFFSET('自動車台帳'!J204,'自動車台帳'!$AP204,0)</f>
        <v>#N/A</v>
      </c>
      <c r="I203" s="149" t="e">
        <f ca="1">OFFSET('自動車台帳'!K204,'自動車台帳'!$AP204,0)</f>
        <v>#N/A</v>
      </c>
      <c r="J203" s="151" t="e">
        <f ca="1">OFFSET('自動車台帳'!L204,'自動車台帳'!$AP204,0)</f>
        <v>#N/A</v>
      </c>
      <c r="K203" s="152" t="e">
        <f ca="1">OFFSET('自動車台帳'!M204,'自動車台帳'!$AP204,0)</f>
        <v>#N/A</v>
      </c>
      <c r="L203" s="152" t="e">
        <f ca="1">OFFSET('自動車台帳'!N204,'自動車台帳'!$AP204,0)</f>
        <v>#N/A</v>
      </c>
      <c r="M203" s="148" t="e">
        <f ca="1">OFFSET('自動車台帳'!AB204,'自動車台帳'!$AP204,0)</f>
        <v>#N/A</v>
      </c>
      <c r="N203" s="148" t="e">
        <f ca="1">OFFSET('自動車台帳'!AC204,'自動車台帳'!$AP204,0)</f>
        <v>#N/A</v>
      </c>
      <c r="O203" s="153" t="e">
        <f ca="1">OFFSET('自動車台帳'!AD204,'自動車台帳'!$AP204,0)</f>
        <v>#N/A</v>
      </c>
      <c r="P203" s="154" t="e">
        <f ca="1">OFFSET('自動車台帳'!AE204,'自動車台帳'!$AP204,0)</f>
        <v>#N/A</v>
      </c>
      <c r="Q203" s="154" t="e">
        <f ca="1">OFFSET('自動車台帳'!AF204,'自動車台帳'!$AP204,0)</f>
        <v>#N/A</v>
      </c>
    </row>
    <row r="204" spans="1:17" ht="13.5">
      <c r="A204" s="148" t="e">
        <f ca="1">OFFSET('自動車台帳'!C205,'自動車台帳'!$AP205,0)</f>
        <v>#N/A</v>
      </c>
      <c r="B204" s="148" t="e">
        <f ca="1">OFFSET('自動車台帳'!D205,'自動車台帳'!$AP205,0)</f>
        <v>#N/A</v>
      </c>
      <c r="C204" s="148" t="e">
        <f ca="1">OFFSET('自動車台帳'!E205,'自動車台帳'!$AP205,0)</f>
        <v>#N/A</v>
      </c>
      <c r="D204" s="148" t="e">
        <f ca="1">OFFSET('自動車台帳'!F205,'自動車台帳'!$AP205,0)</f>
        <v>#N/A</v>
      </c>
      <c r="E204" s="149" t="e">
        <f ca="1">OFFSET('自動車台帳'!G205,'自動車台帳'!$AP205,0)</f>
        <v>#N/A</v>
      </c>
      <c r="F204" s="150" t="e">
        <f ca="1">OFFSET('自動車台帳'!H205,'自動車台帳'!$AP205,0)</f>
        <v>#N/A</v>
      </c>
      <c r="G204" s="148" t="e">
        <f ca="1">OFFSET('自動車台帳'!I205,'自動車台帳'!$AP205,0)</f>
        <v>#N/A</v>
      </c>
      <c r="H204" s="148" t="e">
        <f ca="1">OFFSET('自動車台帳'!J205,'自動車台帳'!$AP205,0)</f>
        <v>#N/A</v>
      </c>
      <c r="I204" s="149" t="e">
        <f ca="1">OFFSET('自動車台帳'!K205,'自動車台帳'!$AP205,0)</f>
        <v>#N/A</v>
      </c>
      <c r="J204" s="151" t="e">
        <f ca="1">OFFSET('自動車台帳'!L205,'自動車台帳'!$AP205,0)</f>
        <v>#N/A</v>
      </c>
      <c r="K204" s="152" t="e">
        <f ca="1">OFFSET('自動車台帳'!M205,'自動車台帳'!$AP205,0)</f>
        <v>#N/A</v>
      </c>
      <c r="L204" s="152" t="e">
        <f ca="1">OFFSET('自動車台帳'!N205,'自動車台帳'!$AP205,0)</f>
        <v>#N/A</v>
      </c>
      <c r="M204" s="148" t="e">
        <f ca="1">OFFSET('自動車台帳'!AB205,'自動車台帳'!$AP205,0)</f>
        <v>#N/A</v>
      </c>
      <c r="N204" s="148" t="e">
        <f ca="1">OFFSET('自動車台帳'!AC205,'自動車台帳'!$AP205,0)</f>
        <v>#N/A</v>
      </c>
      <c r="O204" s="153" t="e">
        <f ca="1">OFFSET('自動車台帳'!AD205,'自動車台帳'!$AP205,0)</f>
        <v>#N/A</v>
      </c>
      <c r="P204" s="154" t="e">
        <f ca="1">OFFSET('自動車台帳'!AE205,'自動車台帳'!$AP205,0)</f>
        <v>#N/A</v>
      </c>
      <c r="Q204" s="154" t="e">
        <f ca="1">OFFSET('自動車台帳'!AF205,'自動車台帳'!$AP205,0)</f>
        <v>#N/A</v>
      </c>
    </row>
    <row r="205" spans="1:17" ht="13.5">
      <c r="A205" s="148" t="e">
        <f ca="1">OFFSET('自動車台帳'!C206,'自動車台帳'!$AP206,0)</f>
        <v>#N/A</v>
      </c>
      <c r="B205" s="148" t="e">
        <f ca="1">OFFSET('自動車台帳'!D206,'自動車台帳'!$AP206,0)</f>
        <v>#N/A</v>
      </c>
      <c r="C205" s="148" t="e">
        <f ca="1">OFFSET('自動車台帳'!E206,'自動車台帳'!$AP206,0)</f>
        <v>#N/A</v>
      </c>
      <c r="D205" s="148" t="e">
        <f ca="1">OFFSET('自動車台帳'!F206,'自動車台帳'!$AP206,0)</f>
        <v>#N/A</v>
      </c>
      <c r="E205" s="149" t="e">
        <f ca="1">OFFSET('自動車台帳'!G206,'自動車台帳'!$AP206,0)</f>
        <v>#N/A</v>
      </c>
      <c r="F205" s="150" t="e">
        <f ca="1">OFFSET('自動車台帳'!H206,'自動車台帳'!$AP206,0)</f>
        <v>#N/A</v>
      </c>
      <c r="G205" s="148" t="e">
        <f ca="1">OFFSET('自動車台帳'!I206,'自動車台帳'!$AP206,0)</f>
        <v>#N/A</v>
      </c>
      <c r="H205" s="148" t="e">
        <f ca="1">OFFSET('自動車台帳'!J206,'自動車台帳'!$AP206,0)</f>
        <v>#N/A</v>
      </c>
      <c r="I205" s="149" t="e">
        <f ca="1">OFFSET('自動車台帳'!K206,'自動車台帳'!$AP206,0)</f>
        <v>#N/A</v>
      </c>
      <c r="J205" s="151" t="e">
        <f ca="1">OFFSET('自動車台帳'!L206,'自動車台帳'!$AP206,0)</f>
        <v>#N/A</v>
      </c>
      <c r="K205" s="152" t="e">
        <f ca="1">OFFSET('自動車台帳'!M206,'自動車台帳'!$AP206,0)</f>
        <v>#N/A</v>
      </c>
      <c r="L205" s="152" t="e">
        <f ca="1">OFFSET('自動車台帳'!N206,'自動車台帳'!$AP206,0)</f>
        <v>#N/A</v>
      </c>
      <c r="M205" s="148" t="e">
        <f ca="1">OFFSET('自動車台帳'!AB206,'自動車台帳'!$AP206,0)</f>
        <v>#N/A</v>
      </c>
      <c r="N205" s="148" t="e">
        <f ca="1">OFFSET('自動車台帳'!AC206,'自動車台帳'!$AP206,0)</f>
        <v>#N/A</v>
      </c>
      <c r="O205" s="153" t="e">
        <f ca="1">OFFSET('自動車台帳'!AD206,'自動車台帳'!$AP206,0)</f>
        <v>#N/A</v>
      </c>
      <c r="P205" s="154" t="e">
        <f ca="1">OFFSET('自動車台帳'!AE206,'自動車台帳'!$AP206,0)</f>
        <v>#N/A</v>
      </c>
      <c r="Q205" s="154" t="e">
        <f ca="1">OFFSET('自動車台帳'!AF206,'自動車台帳'!$AP206,0)</f>
        <v>#N/A</v>
      </c>
    </row>
    <row r="206" spans="1:17" ht="13.5">
      <c r="A206" s="148" t="e">
        <f ca="1">OFFSET('自動車台帳'!C207,'自動車台帳'!$AP207,0)</f>
        <v>#N/A</v>
      </c>
      <c r="B206" s="148" t="e">
        <f ca="1">OFFSET('自動車台帳'!D207,'自動車台帳'!$AP207,0)</f>
        <v>#N/A</v>
      </c>
      <c r="C206" s="148" t="e">
        <f ca="1">OFFSET('自動車台帳'!E207,'自動車台帳'!$AP207,0)</f>
        <v>#N/A</v>
      </c>
      <c r="D206" s="148" t="e">
        <f ca="1">OFFSET('自動車台帳'!F207,'自動車台帳'!$AP207,0)</f>
        <v>#N/A</v>
      </c>
      <c r="E206" s="149" t="e">
        <f ca="1">OFFSET('自動車台帳'!G207,'自動車台帳'!$AP207,0)</f>
        <v>#N/A</v>
      </c>
      <c r="F206" s="150" t="e">
        <f ca="1">OFFSET('自動車台帳'!H207,'自動車台帳'!$AP207,0)</f>
        <v>#N/A</v>
      </c>
      <c r="G206" s="148" t="e">
        <f ca="1">OFFSET('自動車台帳'!I207,'自動車台帳'!$AP207,0)</f>
        <v>#N/A</v>
      </c>
      <c r="H206" s="148" t="e">
        <f ca="1">OFFSET('自動車台帳'!J207,'自動車台帳'!$AP207,0)</f>
        <v>#N/A</v>
      </c>
      <c r="I206" s="149" t="e">
        <f ca="1">OFFSET('自動車台帳'!K207,'自動車台帳'!$AP207,0)</f>
        <v>#N/A</v>
      </c>
      <c r="J206" s="151" t="e">
        <f ca="1">OFFSET('自動車台帳'!L207,'自動車台帳'!$AP207,0)</f>
        <v>#N/A</v>
      </c>
      <c r="K206" s="152" t="e">
        <f ca="1">OFFSET('自動車台帳'!M207,'自動車台帳'!$AP207,0)</f>
        <v>#N/A</v>
      </c>
      <c r="L206" s="152" t="e">
        <f ca="1">OFFSET('自動車台帳'!N207,'自動車台帳'!$AP207,0)</f>
        <v>#N/A</v>
      </c>
      <c r="M206" s="148" t="e">
        <f ca="1">OFFSET('自動車台帳'!AB207,'自動車台帳'!$AP207,0)</f>
        <v>#N/A</v>
      </c>
      <c r="N206" s="148" t="e">
        <f ca="1">OFFSET('自動車台帳'!AC207,'自動車台帳'!$AP207,0)</f>
        <v>#N/A</v>
      </c>
      <c r="O206" s="153" t="e">
        <f ca="1">OFFSET('自動車台帳'!AD207,'自動車台帳'!$AP207,0)</f>
        <v>#N/A</v>
      </c>
      <c r="P206" s="154" t="e">
        <f ca="1">OFFSET('自動車台帳'!AE207,'自動車台帳'!$AP207,0)</f>
        <v>#N/A</v>
      </c>
      <c r="Q206" s="154" t="e">
        <f ca="1">OFFSET('自動車台帳'!AF207,'自動車台帳'!$AP207,0)</f>
        <v>#N/A</v>
      </c>
    </row>
    <row r="207" spans="1:17" ht="13.5">
      <c r="A207" s="148" t="e">
        <f ca="1">OFFSET('自動車台帳'!C208,'自動車台帳'!$AP208,0)</f>
        <v>#N/A</v>
      </c>
      <c r="B207" s="148" t="e">
        <f ca="1">OFFSET('自動車台帳'!D208,'自動車台帳'!$AP208,0)</f>
        <v>#N/A</v>
      </c>
      <c r="C207" s="148" t="e">
        <f ca="1">OFFSET('自動車台帳'!E208,'自動車台帳'!$AP208,0)</f>
        <v>#N/A</v>
      </c>
      <c r="D207" s="148" t="e">
        <f ca="1">OFFSET('自動車台帳'!F208,'自動車台帳'!$AP208,0)</f>
        <v>#N/A</v>
      </c>
      <c r="E207" s="149" t="e">
        <f ca="1">OFFSET('自動車台帳'!G208,'自動車台帳'!$AP208,0)</f>
        <v>#N/A</v>
      </c>
      <c r="F207" s="150" t="e">
        <f ca="1">OFFSET('自動車台帳'!H208,'自動車台帳'!$AP208,0)</f>
        <v>#N/A</v>
      </c>
      <c r="G207" s="148" t="e">
        <f ca="1">OFFSET('自動車台帳'!I208,'自動車台帳'!$AP208,0)</f>
        <v>#N/A</v>
      </c>
      <c r="H207" s="148" t="e">
        <f ca="1">OFFSET('自動車台帳'!J208,'自動車台帳'!$AP208,0)</f>
        <v>#N/A</v>
      </c>
      <c r="I207" s="149" t="e">
        <f ca="1">OFFSET('自動車台帳'!K208,'自動車台帳'!$AP208,0)</f>
        <v>#N/A</v>
      </c>
      <c r="J207" s="151" t="e">
        <f ca="1">OFFSET('自動車台帳'!L208,'自動車台帳'!$AP208,0)</f>
        <v>#N/A</v>
      </c>
      <c r="K207" s="152" t="e">
        <f ca="1">OFFSET('自動車台帳'!M208,'自動車台帳'!$AP208,0)</f>
        <v>#N/A</v>
      </c>
      <c r="L207" s="152" t="e">
        <f ca="1">OFFSET('自動車台帳'!N208,'自動車台帳'!$AP208,0)</f>
        <v>#N/A</v>
      </c>
      <c r="M207" s="148" t="e">
        <f ca="1">OFFSET('自動車台帳'!AB208,'自動車台帳'!$AP208,0)</f>
        <v>#N/A</v>
      </c>
      <c r="N207" s="148" t="e">
        <f ca="1">OFFSET('自動車台帳'!AC208,'自動車台帳'!$AP208,0)</f>
        <v>#N/A</v>
      </c>
      <c r="O207" s="153" t="e">
        <f ca="1">OFFSET('自動車台帳'!AD208,'自動車台帳'!$AP208,0)</f>
        <v>#N/A</v>
      </c>
      <c r="P207" s="154" t="e">
        <f ca="1">OFFSET('自動車台帳'!AE208,'自動車台帳'!$AP208,0)</f>
        <v>#N/A</v>
      </c>
      <c r="Q207" s="154" t="e">
        <f ca="1">OFFSET('自動車台帳'!AF208,'自動車台帳'!$AP208,0)</f>
        <v>#N/A</v>
      </c>
    </row>
    <row r="208" spans="1:17" ht="13.5">
      <c r="A208" s="148" t="e">
        <f ca="1">OFFSET('自動車台帳'!C209,'自動車台帳'!$AP209,0)</f>
        <v>#N/A</v>
      </c>
      <c r="B208" s="148" t="e">
        <f ca="1">OFFSET('自動車台帳'!D209,'自動車台帳'!$AP209,0)</f>
        <v>#N/A</v>
      </c>
      <c r="C208" s="148" t="e">
        <f ca="1">OFFSET('自動車台帳'!E209,'自動車台帳'!$AP209,0)</f>
        <v>#N/A</v>
      </c>
      <c r="D208" s="148" t="e">
        <f ca="1">OFFSET('自動車台帳'!F209,'自動車台帳'!$AP209,0)</f>
        <v>#N/A</v>
      </c>
      <c r="E208" s="149" t="e">
        <f ca="1">OFFSET('自動車台帳'!G209,'自動車台帳'!$AP209,0)</f>
        <v>#N/A</v>
      </c>
      <c r="F208" s="150" t="e">
        <f ca="1">OFFSET('自動車台帳'!H209,'自動車台帳'!$AP209,0)</f>
        <v>#N/A</v>
      </c>
      <c r="G208" s="148" t="e">
        <f ca="1">OFFSET('自動車台帳'!I209,'自動車台帳'!$AP209,0)</f>
        <v>#N/A</v>
      </c>
      <c r="H208" s="148" t="e">
        <f ca="1">OFFSET('自動車台帳'!J209,'自動車台帳'!$AP209,0)</f>
        <v>#N/A</v>
      </c>
      <c r="I208" s="149" t="e">
        <f ca="1">OFFSET('自動車台帳'!K209,'自動車台帳'!$AP209,0)</f>
        <v>#N/A</v>
      </c>
      <c r="J208" s="151" t="e">
        <f ca="1">OFFSET('自動車台帳'!L209,'自動車台帳'!$AP209,0)</f>
        <v>#N/A</v>
      </c>
      <c r="K208" s="152" t="e">
        <f ca="1">OFFSET('自動車台帳'!M209,'自動車台帳'!$AP209,0)</f>
        <v>#N/A</v>
      </c>
      <c r="L208" s="152" t="e">
        <f ca="1">OFFSET('自動車台帳'!N209,'自動車台帳'!$AP209,0)</f>
        <v>#N/A</v>
      </c>
      <c r="M208" s="148" t="e">
        <f ca="1">OFFSET('自動車台帳'!AB209,'自動車台帳'!$AP209,0)</f>
        <v>#N/A</v>
      </c>
      <c r="N208" s="148" t="e">
        <f ca="1">OFFSET('自動車台帳'!AC209,'自動車台帳'!$AP209,0)</f>
        <v>#N/A</v>
      </c>
      <c r="O208" s="153" t="e">
        <f ca="1">OFFSET('自動車台帳'!AD209,'自動車台帳'!$AP209,0)</f>
        <v>#N/A</v>
      </c>
      <c r="P208" s="154" t="e">
        <f ca="1">OFFSET('自動車台帳'!AE209,'自動車台帳'!$AP209,0)</f>
        <v>#N/A</v>
      </c>
      <c r="Q208" s="154" t="e">
        <f ca="1">OFFSET('自動車台帳'!AF209,'自動車台帳'!$AP209,0)</f>
        <v>#N/A</v>
      </c>
    </row>
    <row r="209" spans="1:17" ht="13.5">
      <c r="A209" s="148" t="e">
        <f ca="1">OFFSET('自動車台帳'!C210,'自動車台帳'!$AP210,0)</f>
        <v>#N/A</v>
      </c>
      <c r="B209" s="148" t="e">
        <f ca="1">OFFSET('自動車台帳'!D210,'自動車台帳'!$AP210,0)</f>
        <v>#N/A</v>
      </c>
      <c r="C209" s="148" t="e">
        <f ca="1">OFFSET('自動車台帳'!E210,'自動車台帳'!$AP210,0)</f>
        <v>#N/A</v>
      </c>
      <c r="D209" s="148" t="e">
        <f ca="1">OFFSET('自動車台帳'!F210,'自動車台帳'!$AP210,0)</f>
        <v>#N/A</v>
      </c>
      <c r="E209" s="149" t="e">
        <f ca="1">OFFSET('自動車台帳'!G210,'自動車台帳'!$AP210,0)</f>
        <v>#N/A</v>
      </c>
      <c r="F209" s="150" t="e">
        <f ca="1">OFFSET('自動車台帳'!H210,'自動車台帳'!$AP210,0)</f>
        <v>#N/A</v>
      </c>
      <c r="G209" s="148" t="e">
        <f ca="1">OFFSET('自動車台帳'!I210,'自動車台帳'!$AP210,0)</f>
        <v>#N/A</v>
      </c>
      <c r="H209" s="148" t="e">
        <f ca="1">OFFSET('自動車台帳'!J210,'自動車台帳'!$AP210,0)</f>
        <v>#N/A</v>
      </c>
      <c r="I209" s="149" t="e">
        <f ca="1">OFFSET('自動車台帳'!K210,'自動車台帳'!$AP210,0)</f>
        <v>#N/A</v>
      </c>
      <c r="J209" s="151" t="e">
        <f ca="1">OFFSET('自動車台帳'!L210,'自動車台帳'!$AP210,0)</f>
        <v>#N/A</v>
      </c>
      <c r="K209" s="152" t="e">
        <f ca="1">OFFSET('自動車台帳'!M210,'自動車台帳'!$AP210,0)</f>
        <v>#N/A</v>
      </c>
      <c r="L209" s="152" t="e">
        <f ca="1">OFFSET('自動車台帳'!N210,'自動車台帳'!$AP210,0)</f>
        <v>#N/A</v>
      </c>
      <c r="M209" s="148" t="e">
        <f ca="1">OFFSET('自動車台帳'!AB210,'自動車台帳'!$AP210,0)</f>
        <v>#N/A</v>
      </c>
      <c r="N209" s="148" t="e">
        <f ca="1">OFFSET('自動車台帳'!AC210,'自動車台帳'!$AP210,0)</f>
        <v>#N/A</v>
      </c>
      <c r="O209" s="153" t="e">
        <f ca="1">OFFSET('自動車台帳'!AD210,'自動車台帳'!$AP210,0)</f>
        <v>#N/A</v>
      </c>
      <c r="P209" s="154" t="e">
        <f ca="1">OFFSET('自動車台帳'!AE210,'自動車台帳'!$AP210,0)</f>
        <v>#N/A</v>
      </c>
      <c r="Q209" s="154" t="e">
        <f ca="1">OFFSET('自動車台帳'!AF210,'自動車台帳'!$AP210,0)</f>
        <v>#N/A</v>
      </c>
    </row>
    <row r="210" spans="1:17" ht="13.5">
      <c r="A210" s="148" t="e">
        <f ca="1">OFFSET('自動車台帳'!C211,'自動車台帳'!$AP211,0)</f>
        <v>#N/A</v>
      </c>
      <c r="B210" s="148" t="e">
        <f ca="1">OFFSET('自動車台帳'!D211,'自動車台帳'!$AP211,0)</f>
        <v>#N/A</v>
      </c>
      <c r="C210" s="148" t="e">
        <f ca="1">OFFSET('自動車台帳'!E211,'自動車台帳'!$AP211,0)</f>
        <v>#N/A</v>
      </c>
      <c r="D210" s="148" t="e">
        <f ca="1">OFFSET('自動車台帳'!F211,'自動車台帳'!$AP211,0)</f>
        <v>#N/A</v>
      </c>
      <c r="E210" s="149" t="e">
        <f ca="1">OFFSET('自動車台帳'!G211,'自動車台帳'!$AP211,0)</f>
        <v>#N/A</v>
      </c>
      <c r="F210" s="150" t="e">
        <f ca="1">OFFSET('自動車台帳'!H211,'自動車台帳'!$AP211,0)</f>
        <v>#N/A</v>
      </c>
      <c r="G210" s="148" t="e">
        <f ca="1">OFFSET('自動車台帳'!I211,'自動車台帳'!$AP211,0)</f>
        <v>#N/A</v>
      </c>
      <c r="H210" s="148" t="e">
        <f ca="1">OFFSET('自動車台帳'!J211,'自動車台帳'!$AP211,0)</f>
        <v>#N/A</v>
      </c>
      <c r="I210" s="149" t="e">
        <f ca="1">OFFSET('自動車台帳'!K211,'自動車台帳'!$AP211,0)</f>
        <v>#N/A</v>
      </c>
      <c r="J210" s="151" t="e">
        <f ca="1">OFFSET('自動車台帳'!L211,'自動車台帳'!$AP211,0)</f>
        <v>#N/A</v>
      </c>
      <c r="K210" s="152" t="e">
        <f ca="1">OFFSET('自動車台帳'!M211,'自動車台帳'!$AP211,0)</f>
        <v>#N/A</v>
      </c>
      <c r="L210" s="152" t="e">
        <f ca="1">OFFSET('自動車台帳'!N211,'自動車台帳'!$AP211,0)</f>
        <v>#N/A</v>
      </c>
      <c r="M210" s="148" t="e">
        <f ca="1">OFFSET('自動車台帳'!AB211,'自動車台帳'!$AP211,0)</f>
        <v>#N/A</v>
      </c>
      <c r="N210" s="148" t="e">
        <f ca="1">OFFSET('自動車台帳'!AC211,'自動車台帳'!$AP211,0)</f>
        <v>#N/A</v>
      </c>
      <c r="O210" s="153" t="e">
        <f ca="1">OFFSET('自動車台帳'!AD211,'自動車台帳'!$AP211,0)</f>
        <v>#N/A</v>
      </c>
      <c r="P210" s="154" t="e">
        <f ca="1">OFFSET('自動車台帳'!AE211,'自動車台帳'!$AP211,0)</f>
        <v>#N/A</v>
      </c>
      <c r="Q210" s="154" t="e">
        <f ca="1">OFFSET('自動車台帳'!AF211,'自動車台帳'!$AP211,0)</f>
        <v>#N/A</v>
      </c>
    </row>
    <row r="211" spans="1:17" ht="13.5">
      <c r="A211" s="148" t="e">
        <f ca="1">OFFSET('自動車台帳'!C212,'自動車台帳'!$AP212,0)</f>
        <v>#N/A</v>
      </c>
      <c r="B211" s="148" t="e">
        <f ca="1">OFFSET('自動車台帳'!D212,'自動車台帳'!$AP212,0)</f>
        <v>#N/A</v>
      </c>
      <c r="C211" s="148" t="e">
        <f ca="1">OFFSET('自動車台帳'!E212,'自動車台帳'!$AP212,0)</f>
        <v>#N/A</v>
      </c>
      <c r="D211" s="148" t="e">
        <f ca="1">OFFSET('自動車台帳'!F212,'自動車台帳'!$AP212,0)</f>
        <v>#N/A</v>
      </c>
      <c r="E211" s="149" t="e">
        <f ca="1">OFFSET('自動車台帳'!G212,'自動車台帳'!$AP212,0)</f>
        <v>#N/A</v>
      </c>
      <c r="F211" s="150" t="e">
        <f ca="1">OFFSET('自動車台帳'!H212,'自動車台帳'!$AP212,0)</f>
        <v>#N/A</v>
      </c>
      <c r="G211" s="148" t="e">
        <f ca="1">OFFSET('自動車台帳'!I212,'自動車台帳'!$AP212,0)</f>
        <v>#N/A</v>
      </c>
      <c r="H211" s="148" t="e">
        <f ca="1">OFFSET('自動車台帳'!J212,'自動車台帳'!$AP212,0)</f>
        <v>#N/A</v>
      </c>
      <c r="I211" s="149" t="e">
        <f ca="1">OFFSET('自動車台帳'!K212,'自動車台帳'!$AP212,0)</f>
        <v>#N/A</v>
      </c>
      <c r="J211" s="151" t="e">
        <f ca="1">OFFSET('自動車台帳'!L212,'自動車台帳'!$AP212,0)</f>
        <v>#N/A</v>
      </c>
      <c r="K211" s="152" t="e">
        <f ca="1">OFFSET('自動車台帳'!M212,'自動車台帳'!$AP212,0)</f>
        <v>#N/A</v>
      </c>
      <c r="L211" s="152" t="e">
        <f ca="1">OFFSET('自動車台帳'!N212,'自動車台帳'!$AP212,0)</f>
        <v>#N/A</v>
      </c>
      <c r="M211" s="148" t="e">
        <f ca="1">OFFSET('自動車台帳'!AB212,'自動車台帳'!$AP212,0)</f>
        <v>#N/A</v>
      </c>
      <c r="N211" s="148" t="e">
        <f ca="1">OFFSET('自動車台帳'!AC212,'自動車台帳'!$AP212,0)</f>
        <v>#N/A</v>
      </c>
      <c r="O211" s="153" t="e">
        <f ca="1">OFFSET('自動車台帳'!AD212,'自動車台帳'!$AP212,0)</f>
        <v>#N/A</v>
      </c>
      <c r="P211" s="154" t="e">
        <f ca="1">OFFSET('自動車台帳'!AE212,'自動車台帳'!$AP212,0)</f>
        <v>#N/A</v>
      </c>
      <c r="Q211" s="154" t="e">
        <f ca="1">OFFSET('自動車台帳'!AF212,'自動車台帳'!$AP212,0)</f>
        <v>#N/A</v>
      </c>
    </row>
    <row r="212" spans="1:17" ht="13.5">
      <c r="A212" s="148" t="e">
        <f ca="1">OFFSET('自動車台帳'!C213,'自動車台帳'!$AP213,0)</f>
        <v>#N/A</v>
      </c>
      <c r="B212" s="148" t="e">
        <f ca="1">OFFSET('自動車台帳'!D213,'自動車台帳'!$AP213,0)</f>
        <v>#N/A</v>
      </c>
      <c r="C212" s="148" t="e">
        <f ca="1">OFFSET('自動車台帳'!E213,'自動車台帳'!$AP213,0)</f>
        <v>#N/A</v>
      </c>
      <c r="D212" s="148" t="e">
        <f ca="1">OFFSET('自動車台帳'!F213,'自動車台帳'!$AP213,0)</f>
        <v>#N/A</v>
      </c>
      <c r="E212" s="149" t="e">
        <f ca="1">OFFSET('自動車台帳'!G213,'自動車台帳'!$AP213,0)</f>
        <v>#N/A</v>
      </c>
      <c r="F212" s="150" t="e">
        <f ca="1">OFFSET('自動車台帳'!H213,'自動車台帳'!$AP213,0)</f>
        <v>#N/A</v>
      </c>
      <c r="G212" s="148" t="e">
        <f ca="1">OFFSET('自動車台帳'!I213,'自動車台帳'!$AP213,0)</f>
        <v>#N/A</v>
      </c>
      <c r="H212" s="148" t="e">
        <f ca="1">OFFSET('自動車台帳'!J213,'自動車台帳'!$AP213,0)</f>
        <v>#N/A</v>
      </c>
      <c r="I212" s="149" t="e">
        <f ca="1">OFFSET('自動車台帳'!K213,'自動車台帳'!$AP213,0)</f>
        <v>#N/A</v>
      </c>
      <c r="J212" s="151" t="e">
        <f ca="1">OFFSET('自動車台帳'!L213,'自動車台帳'!$AP213,0)</f>
        <v>#N/A</v>
      </c>
      <c r="K212" s="152" t="e">
        <f ca="1">OFFSET('自動車台帳'!M213,'自動車台帳'!$AP213,0)</f>
        <v>#N/A</v>
      </c>
      <c r="L212" s="152" t="e">
        <f ca="1">OFFSET('自動車台帳'!N213,'自動車台帳'!$AP213,0)</f>
        <v>#N/A</v>
      </c>
      <c r="M212" s="148" t="e">
        <f ca="1">OFFSET('自動車台帳'!AB213,'自動車台帳'!$AP213,0)</f>
        <v>#N/A</v>
      </c>
      <c r="N212" s="148" t="e">
        <f ca="1">OFFSET('自動車台帳'!AC213,'自動車台帳'!$AP213,0)</f>
        <v>#N/A</v>
      </c>
      <c r="O212" s="153" t="e">
        <f ca="1">OFFSET('自動車台帳'!AD213,'自動車台帳'!$AP213,0)</f>
        <v>#N/A</v>
      </c>
      <c r="P212" s="154" t="e">
        <f ca="1">OFFSET('自動車台帳'!AE213,'自動車台帳'!$AP213,0)</f>
        <v>#N/A</v>
      </c>
      <c r="Q212" s="154" t="e">
        <f ca="1">OFFSET('自動車台帳'!AF213,'自動車台帳'!$AP213,0)</f>
        <v>#N/A</v>
      </c>
    </row>
    <row r="213" spans="1:17" ht="13.5">
      <c r="A213" s="148" t="e">
        <f ca="1">OFFSET('自動車台帳'!C214,'自動車台帳'!$AP214,0)</f>
        <v>#N/A</v>
      </c>
      <c r="B213" s="148" t="e">
        <f ca="1">OFFSET('自動車台帳'!D214,'自動車台帳'!$AP214,0)</f>
        <v>#N/A</v>
      </c>
      <c r="C213" s="148" t="e">
        <f ca="1">OFFSET('自動車台帳'!E214,'自動車台帳'!$AP214,0)</f>
        <v>#N/A</v>
      </c>
      <c r="D213" s="148" t="e">
        <f ca="1">OFFSET('自動車台帳'!F214,'自動車台帳'!$AP214,0)</f>
        <v>#N/A</v>
      </c>
      <c r="E213" s="149" t="e">
        <f ca="1">OFFSET('自動車台帳'!G214,'自動車台帳'!$AP214,0)</f>
        <v>#N/A</v>
      </c>
      <c r="F213" s="150" t="e">
        <f ca="1">OFFSET('自動車台帳'!H214,'自動車台帳'!$AP214,0)</f>
        <v>#N/A</v>
      </c>
      <c r="G213" s="148" t="e">
        <f ca="1">OFFSET('自動車台帳'!I214,'自動車台帳'!$AP214,0)</f>
        <v>#N/A</v>
      </c>
      <c r="H213" s="148" t="e">
        <f ca="1">OFFSET('自動車台帳'!J214,'自動車台帳'!$AP214,0)</f>
        <v>#N/A</v>
      </c>
      <c r="I213" s="149" t="e">
        <f ca="1">OFFSET('自動車台帳'!K214,'自動車台帳'!$AP214,0)</f>
        <v>#N/A</v>
      </c>
      <c r="J213" s="151" t="e">
        <f ca="1">OFFSET('自動車台帳'!L214,'自動車台帳'!$AP214,0)</f>
        <v>#N/A</v>
      </c>
      <c r="K213" s="152" t="e">
        <f ca="1">OFFSET('自動車台帳'!M214,'自動車台帳'!$AP214,0)</f>
        <v>#N/A</v>
      </c>
      <c r="L213" s="152" t="e">
        <f ca="1">OFFSET('自動車台帳'!N214,'自動車台帳'!$AP214,0)</f>
        <v>#N/A</v>
      </c>
      <c r="M213" s="148" t="e">
        <f ca="1">OFFSET('自動車台帳'!AB214,'自動車台帳'!$AP214,0)</f>
        <v>#N/A</v>
      </c>
      <c r="N213" s="148" t="e">
        <f ca="1">OFFSET('自動車台帳'!AC214,'自動車台帳'!$AP214,0)</f>
        <v>#N/A</v>
      </c>
      <c r="O213" s="153" t="e">
        <f ca="1">OFFSET('自動車台帳'!AD214,'自動車台帳'!$AP214,0)</f>
        <v>#N/A</v>
      </c>
      <c r="P213" s="154" t="e">
        <f ca="1">OFFSET('自動車台帳'!AE214,'自動車台帳'!$AP214,0)</f>
        <v>#N/A</v>
      </c>
      <c r="Q213" s="154" t="e">
        <f ca="1">OFFSET('自動車台帳'!AF214,'自動車台帳'!$AP214,0)</f>
        <v>#N/A</v>
      </c>
    </row>
    <row r="214" spans="1:17" ht="13.5">
      <c r="A214" s="148" t="e">
        <f ca="1">OFFSET('自動車台帳'!C215,'自動車台帳'!$AP215,0)</f>
        <v>#N/A</v>
      </c>
      <c r="B214" s="148" t="e">
        <f ca="1">OFFSET('自動車台帳'!D215,'自動車台帳'!$AP215,0)</f>
        <v>#N/A</v>
      </c>
      <c r="C214" s="148" t="e">
        <f ca="1">OFFSET('自動車台帳'!E215,'自動車台帳'!$AP215,0)</f>
        <v>#N/A</v>
      </c>
      <c r="D214" s="148" t="e">
        <f ca="1">OFFSET('自動車台帳'!F215,'自動車台帳'!$AP215,0)</f>
        <v>#N/A</v>
      </c>
      <c r="E214" s="149" t="e">
        <f ca="1">OFFSET('自動車台帳'!G215,'自動車台帳'!$AP215,0)</f>
        <v>#N/A</v>
      </c>
      <c r="F214" s="150" t="e">
        <f ca="1">OFFSET('自動車台帳'!H215,'自動車台帳'!$AP215,0)</f>
        <v>#N/A</v>
      </c>
      <c r="G214" s="148" t="e">
        <f ca="1">OFFSET('自動車台帳'!I215,'自動車台帳'!$AP215,0)</f>
        <v>#N/A</v>
      </c>
      <c r="H214" s="148" t="e">
        <f ca="1">OFFSET('自動車台帳'!J215,'自動車台帳'!$AP215,0)</f>
        <v>#N/A</v>
      </c>
      <c r="I214" s="149" t="e">
        <f ca="1">OFFSET('自動車台帳'!K215,'自動車台帳'!$AP215,0)</f>
        <v>#N/A</v>
      </c>
      <c r="J214" s="151" t="e">
        <f ca="1">OFFSET('自動車台帳'!L215,'自動車台帳'!$AP215,0)</f>
        <v>#N/A</v>
      </c>
      <c r="K214" s="152" t="e">
        <f ca="1">OFFSET('自動車台帳'!M215,'自動車台帳'!$AP215,0)</f>
        <v>#N/A</v>
      </c>
      <c r="L214" s="152" t="e">
        <f ca="1">OFFSET('自動車台帳'!N215,'自動車台帳'!$AP215,0)</f>
        <v>#N/A</v>
      </c>
      <c r="M214" s="148" t="e">
        <f ca="1">OFFSET('自動車台帳'!AB215,'自動車台帳'!$AP215,0)</f>
        <v>#N/A</v>
      </c>
      <c r="N214" s="148" t="e">
        <f ca="1">OFFSET('自動車台帳'!AC215,'自動車台帳'!$AP215,0)</f>
        <v>#N/A</v>
      </c>
      <c r="O214" s="153" t="e">
        <f ca="1">OFFSET('自動車台帳'!AD215,'自動車台帳'!$AP215,0)</f>
        <v>#N/A</v>
      </c>
      <c r="P214" s="154" t="e">
        <f ca="1">OFFSET('自動車台帳'!AE215,'自動車台帳'!$AP215,0)</f>
        <v>#N/A</v>
      </c>
      <c r="Q214" s="154" t="e">
        <f ca="1">OFFSET('自動車台帳'!AF215,'自動車台帳'!$AP215,0)</f>
        <v>#N/A</v>
      </c>
    </row>
    <row r="215" spans="1:17" ht="13.5">
      <c r="A215" s="148" t="e">
        <f ca="1">OFFSET('自動車台帳'!C216,'自動車台帳'!$AP216,0)</f>
        <v>#N/A</v>
      </c>
      <c r="B215" s="148" t="e">
        <f ca="1">OFFSET('自動車台帳'!D216,'自動車台帳'!$AP216,0)</f>
        <v>#N/A</v>
      </c>
      <c r="C215" s="148" t="e">
        <f ca="1">OFFSET('自動車台帳'!E216,'自動車台帳'!$AP216,0)</f>
        <v>#N/A</v>
      </c>
      <c r="D215" s="148" t="e">
        <f ca="1">OFFSET('自動車台帳'!F216,'自動車台帳'!$AP216,0)</f>
        <v>#N/A</v>
      </c>
      <c r="E215" s="149" t="e">
        <f ca="1">OFFSET('自動車台帳'!G216,'自動車台帳'!$AP216,0)</f>
        <v>#N/A</v>
      </c>
      <c r="F215" s="150" t="e">
        <f ca="1">OFFSET('自動車台帳'!H216,'自動車台帳'!$AP216,0)</f>
        <v>#N/A</v>
      </c>
      <c r="G215" s="148" t="e">
        <f ca="1">OFFSET('自動車台帳'!I216,'自動車台帳'!$AP216,0)</f>
        <v>#N/A</v>
      </c>
      <c r="H215" s="148" t="e">
        <f ca="1">OFFSET('自動車台帳'!J216,'自動車台帳'!$AP216,0)</f>
        <v>#N/A</v>
      </c>
      <c r="I215" s="149" t="e">
        <f ca="1">OFFSET('自動車台帳'!K216,'自動車台帳'!$AP216,0)</f>
        <v>#N/A</v>
      </c>
      <c r="J215" s="151" t="e">
        <f ca="1">OFFSET('自動車台帳'!L216,'自動車台帳'!$AP216,0)</f>
        <v>#N/A</v>
      </c>
      <c r="K215" s="152" t="e">
        <f ca="1">OFFSET('自動車台帳'!M216,'自動車台帳'!$AP216,0)</f>
        <v>#N/A</v>
      </c>
      <c r="L215" s="152" t="e">
        <f ca="1">OFFSET('自動車台帳'!N216,'自動車台帳'!$AP216,0)</f>
        <v>#N/A</v>
      </c>
      <c r="M215" s="148" t="e">
        <f ca="1">OFFSET('自動車台帳'!AB216,'自動車台帳'!$AP216,0)</f>
        <v>#N/A</v>
      </c>
      <c r="N215" s="148" t="e">
        <f ca="1">OFFSET('自動車台帳'!AC216,'自動車台帳'!$AP216,0)</f>
        <v>#N/A</v>
      </c>
      <c r="O215" s="153" t="e">
        <f ca="1">OFFSET('自動車台帳'!AD216,'自動車台帳'!$AP216,0)</f>
        <v>#N/A</v>
      </c>
      <c r="P215" s="154" t="e">
        <f ca="1">OFFSET('自動車台帳'!AE216,'自動車台帳'!$AP216,0)</f>
        <v>#N/A</v>
      </c>
      <c r="Q215" s="154" t="e">
        <f ca="1">OFFSET('自動車台帳'!AF216,'自動車台帳'!$AP216,0)</f>
        <v>#N/A</v>
      </c>
    </row>
    <row r="216" spans="1:17" ht="13.5">
      <c r="A216" s="148" t="e">
        <f ca="1">OFFSET('自動車台帳'!C217,'自動車台帳'!$AP217,0)</f>
        <v>#N/A</v>
      </c>
      <c r="B216" s="148" t="e">
        <f ca="1">OFFSET('自動車台帳'!D217,'自動車台帳'!$AP217,0)</f>
        <v>#N/A</v>
      </c>
      <c r="C216" s="148" t="e">
        <f ca="1">OFFSET('自動車台帳'!E217,'自動車台帳'!$AP217,0)</f>
        <v>#N/A</v>
      </c>
      <c r="D216" s="148" t="e">
        <f ca="1">OFFSET('自動車台帳'!F217,'自動車台帳'!$AP217,0)</f>
        <v>#N/A</v>
      </c>
      <c r="E216" s="149" t="e">
        <f ca="1">OFFSET('自動車台帳'!G217,'自動車台帳'!$AP217,0)</f>
        <v>#N/A</v>
      </c>
      <c r="F216" s="150" t="e">
        <f ca="1">OFFSET('自動車台帳'!H217,'自動車台帳'!$AP217,0)</f>
        <v>#N/A</v>
      </c>
      <c r="G216" s="148" t="e">
        <f ca="1">OFFSET('自動車台帳'!I217,'自動車台帳'!$AP217,0)</f>
        <v>#N/A</v>
      </c>
      <c r="H216" s="148" t="e">
        <f ca="1">OFFSET('自動車台帳'!J217,'自動車台帳'!$AP217,0)</f>
        <v>#N/A</v>
      </c>
      <c r="I216" s="149" t="e">
        <f ca="1">OFFSET('自動車台帳'!K217,'自動車台帳'!$AP217,0)</f>
        <v>#N/A</v>
      </c>
      <c r="J216" s="151" t="e">
        <f ca="1">OFFSET('自動車台帳'!L217,'自動車台帳'!$AP217,0)</f>
        <v>#N/A</v>
      </c>
      <c r="K216" s="152" t="e">
        <f ca="1">OFFSET('自動車台帳'!M217,'自動車台帳'!$AP217,0)</f>
        <v>#N/A</v>
      </c>
      <c r="L216" s="152" t="e">
        <f ca="1">OFFSET('自動車台帳'!N217,'自動車台帳'!$AP217,0)</f>
        <v>#N/A</v>
      </c>
      <c r="M216" s="148" t="e">
        <f ca="1">OFFSET('自動車台帳'!AB217,'自動車台帳'!$AP217,0)</f>
        <v>#N/A</v>
      </c>
      <c r="N216" s="148" t="e">
        <f ca="1">OFFSET('自動車台帳'!AC217,'自動車台帳'!$AP217,0)</f>
        <v>#N/A</v>
      </c>
      <c r="O216" s="153" t="e">
        <f ca="1">OFFSET('自動車台帳'!AD217,'自動車台帳'!$AP217,0)</f>
        <v>#N/A</v>
      </c>
      <c r="P216" s="154" t="e">
        <f ca="1">OFFSET('自動車台帳'!AE217,'自動車台帳'!$AP217,0)</f>
        <v>#N/A</v>
      </c>
      <c r="Q216" s="154" t="e">
        <f ca="1">OFFSET('自動車台帳'!AF217,'自動車台帳'!$AP217,0)</f>
        <v>#N/A</v>
      </c>
    </row>
    <row r="217" spans="1:17" ht="13.5">
      <c r="A217" s="148" t="e">
        <f ca="1">OFFSET('自動車台帳'!C218,'自動車台帳'!$AP218,0)</f>
        <v>#N/A</v>
      </c>
      <c r="B217" s="148" t="e">
        <f ca="1">OFFSET('自動車台帳'!D218,'自動車台帳'!$AP218,0)</f>
        <v>#N/A</v>
      </c>
      <c r="C217" s="148" t="e">
        <f ca="1">OFFSET('自動車台帳'!E218,'自動車台帳'!$AP218,0)</f>
        <v>#N/A</v>
      </c>
      <c r="D217" s="148" t="e">
        <f ca="1">OFFSET('自動車台帳'!F218,'自動車台帳'!$AP218,0)</f>
        <v>#N/A</v>
      </c>
      <c r="E217" s="149" t="e">
        <f ca="1">OFFSET('自動車台帳'!G218,'自動車台帳'!$AP218,0)</f>
        <v>#N/A</v>
      </c>
      <c r="F217" s="150" t="e">
        <f ca="1">OFFSET('自動車台帳'!H218,'自動車台帳'!$AP218,0)</f>
        <v>#N/A</v>
      </c>
      <c r="G217" s="148" t="e">
        <f ca="1">OFFSET('自動車台帳'!I218,'自動車台帳'!$AP218,0)</f>
        <v>#N/A</v>
      </c>
      <c r="H217" s="148" t="e">
        <f ca="1">OFFSET('自動車台帳'!J218,'自動車台帳'!$AP218,0)</f>
        <v>#N/A</v>
      </c>
      <c r="I217" s="149" t="e">
        <f ca="1">OFFSET('自動車台帳'!K218,'自動車台帳'!$AP218,0)</f>
        <v>#N/A</v>
      </c>
      <c r="J217" s="151" t="e">
        <f ca="1">OFFSET('自動車台帳'!L218,'自動車台帳'!$AP218,0)</f>
        <v>#N/A</v>
      </c>
      <c r="K217" s="152" t="e">
        <f ca="1">OFFSET('自動車台帳'!M218,'自動車台帳'!$AP218,0)</f>
        <v>#N/A</v>
      </c>
      <c r="L217" s="152" t="e">
        <f ca="1">OFFSET('自動車台帳'!N218,'自動車台帳'!$AP218,0)</f>
        <v>#N/A</v>
      </c>
      <c r="M217" s="148" t="e">
        <f ca="1">OFFSET('自動車台帳'!AB218,'自動車台帳'!$AP218,0)</f>
        <v>#N/A</v>
      </c>
      <c r="N217" s="148" t="e">
        <f ca="1">OFFSET('自動車台帳'!AC218,'自動車台帳'!$AP218,0)</f>
        <v>#N/A</v>
      </c>
      <c r="O217" s="153" t="e">
        <f ca="1">OFFSET('自動車台帳'!AD218,'自動車台帳'!$AP218,0)</f>
        <v>#N/A</v>
      </c>
      <c r="P217" s="154" t="e">
        <f ca="1">OFFSET('自動車台帳'!AE218,'自動車台帳'!$AP218,0)</f>
        <v>#N/A</v>
      </c>
      <c r="Q217" s="154" t="e">
        <f ca="1">OFFSET('自動車台帳'!AF218,'自動車台帳'!$AP218,0)</f>
        <v>#N/A</v>
      </c>
    </row>
    <row r="218" spans="1:17" ht="13.5">
      <c r="A218" s="148" t="e">
        <f ca="1">OFFSET('自動車台帳'!C219,'自動車台帳'!$AP219,0)</f>
        <v>#N/A</v>
      </c>
      <c r="B218" s="148" t="e">
        <f ca="1">OFFSET('自動車台帳'!D219,'自動車台帳'!$AP219,0)</f>
        <v>#N/A</v>
      </c>
      <c r="C218" s="148" t="e">
        <f ca="1">OFFSET('自動車台帳'!E219,'自動車台帳'!$AP219,0)</f>
        <v>#N/A</v>
      </c>
      <c r="D218" s="148" t="e">
        <f ca="1">OFFSET('自動車台帳'!F219,'自動車台帳'!$AP219,0)</f>
        <v>#N/A</v>
      </c>
      <c r="E218" s="149" t="e">
        <f ca="1">OFFSET('自動車台帳'!G219,'自動車台帳'!$AP219,0)</f>
        <v>#N/A</v>
      </c>
      <c r="F218" s="150" t="e">
        <f ca="1">OFFSET('自動車台帳'!H219,'自動車台帳'!$AP219,0)</f>
        <v>#N/A</v>
      </c>
      <c r="G218" s="148" t="e">
        <f ca="1">OFFSET('自動車台帳'!I219,'自動車台帳'!$AP219,0)</f>
        <v>#N/A</v>
      </c>
      <c r="H218" s="148" t="e">
        <f ca="1">OFFSET('自動車台帳'!J219,'自動車台帳'!$AP219,0)</f>
        <v>#N/A</v>
      </c>
      <c r="I218" s="149" t="e">
        <f ca="1">OFFSET('自動車台帳'!K219,'自動車台帳'!$AP219,0)</f>
        <v>#N/A</v>
      </c>
      <c r="J218" s="151" t="e">
        <f ca="1">OFFSET('自動車台帳'!L219,'自動車台帳'!$AP219,0)</f>
        <v>#N/A</v>
      </c>
      <c r="K218" s="152" t="e">
        <f ca="1">OFFSET('自動車台帳'!M219,'自動車台帳'!$AP219,0)</f>
        <v>#N/A</v>
      </c>
      <c r="L218" s="152" t="e">
        <f ca="1">OFFSET('自動車台帳'!N219,'自動車台帳'!$AP219,0)</f>
        <v>#N/A</v>
      </c>
      <c r="M218" s="148" t="e">
        <f ca="1">OFFSET('自動車台帳'!AB219,'自動車台帳'!$AP219,0)</f>
        <v>#N/A</v>
      </c>
      <c r="N218" s="148" t="e">
        <f ca="1">OFFSET('自動車台帳'!AC219,'自動車台帳'!$AP219,0)</f>
        <v>#N/A</v>
      </c>
      <c r="O218" s="153" t="e">
        <f ca="1">OFFSET('自動車台帳'!AD219,'自動車台帳'!$AP219,0)</f>
        <v>#N/A</v>
      </c>
      <c r="P218" s="154" t="e">
        <f ca="1">OFFSET('自動車台帳'!AE219,'自動車台帳'!$AP219,0)</f>
        <v>#N/A</v>
      </c>
      <c r="Q218" s="154" t="e">
        <f ca="1">OFFSET('自動車台帳'!AF219,'自動車台帳'!$AP219,0)</f>
        <v>#N/A</v>
      </c>
    </row>
    <row r="219" spans="1:17" ht="13.5">
      <c r="A219" s="148" t="e">
        <f ca="1">OFFSET('自動車台帳'!C220,'自動車台帳'!$AP220,0)</f>
        <v>#N/A</v>
      </c>
      <c r="B219" s="148" t="e">
        <f ca="1">OFFSET('自動車台帳'!D220,'自動車台帳'!$AP220,0)</f>
        <v>#N/A</v>
      </c>
      <c r="C219" s="148" t="e">
        <f ca="1">OFFSET('自動車台帳'!E220,'自動車台帳'!$AP220,0)</f>
        <v>#N/A</v>
      </c>
      <c r="D219" s="148" t="e">
        <f ca="1">OFFSET('自動車台帳'!F220,'自動車台帳'!$AP220,0)</f>
        <v>#N/A</v>
      </c>
      <c r="E219" s="149" t="e">
        <f ca="1">OFFSET('自動車台帳'!G220,'自動車台帳'!$AP220,0)</f>
        <v>#N/A</v>
      </c>
      <c r="F219" s="150" t="e">
        <f ca="1">OFFSET('自動車台帳'!H220,'自動車台帳'!$AP220,0)</f>
        <v>#N/A</v>
      </c>
      <c r="G219" s="148" t="e">
        <f ca="1">OFFSET('自動車台帳'!I220,'自動車台帳'!$AP220,0)</f>
        <v>#N/A</v>
      </c>
      <c r="H219" s="148" t="e">
        <f ca="1">OFFSET('自動車台帳'!J220,'自動車台帳'!$AP220,0)</f>
        <v>#N/A</v>
      </c>
      <c r="I219" s="149" t="e">
        <f ca="1">OFFSET('自動車台帳'!K220,'自動車台帳'!$AP220,0)</f>
        <v>#N/A</v>
      </c>
      <c r="J219" s="151" t="e">
        <f ca="1">OFFSET('自動車台帳'!L220,'自動車台帳'!$AP220,0)</f>
        <v>#N/A</v>
      </c>
      <c r="K219" s="152" t="e">
        <f ca="1">OFFSET('自動車台帳'!M220,'自動車台帳'!$AP220,0)</f>
        <v>#N/A</v>
      </c>
      <c r="L219" s="152" t="e">
        <f ca="1">OFFSET('自動車台帳'!N220,'自動車台帳'!$AP220,0)</f>
        <v>#N/A</v>
      </c>
      <c r="M219" s="148" t="e">
        <f ca="1">OFFSET('自動車台帳'!AB220,'自動車台帳'!$AP220,0)</f>
        <v>#N/A</v>
      </c>
      <c r="N219" s="148" t="e">
        <f ca="1">OFFSET('自動車台帳'!AC220,'自動車台帳'!$AP220,0)</f>
        <v>#N/A</v>
      </c>
      <c r="O219" s="153" t="e">
        <f ca="1">OFFSET('自動車台帳'!AD220,'自動車台帳'!$AP220,0)</f>
        <v>#N/A</v>
      </c>
      <c r="P219" s="154" t="e">
        <f ca="1">OFFSET('自動車台帳'!AE220,'自動車台帳'!$AP220,0)</f>
        <v>#N/A</v>
      </c>
      <c r="Q219" s="154" t="e">
        <f ca="1">OFFSET('自動車台帳'!AF220,'自動車台帳'!$AP220,0)</f>
        <v>#N/A</v>
      </c>
    </row>
    <row r="220" spans="1:17" ht="13.5">
      <c r="A220" s="148" t="e">
        <f ca="1">OFFSET('自動車台帳'!C221,'自動車台帳'!$AP221,0)</f>
        <v>#N/A</v>
      </c>
      <c r="B220" s="148" t="e">
        <f ca="1">OFFSET('自動車台帳'!D221,'自動車台帳'!$AP221,0)</f>
        <v>#N/A</v>
      </c>
      <c r="C220" s="148" t="e">
        <f ca="1">OFFSET('自動車台帳'!E221,'自動車台帳'!$AP221,0)</f>
        <v>#N/A</v>
      </c>
      <c r="D220" s="148" t="e">
        <f ca="1">OFFSET('自動車台帳'!F221,'自動車台帳'!$AP221,0)</f>
        <v>#N/A</v>
      </c>
      <c r="E220" s="149" t="e">
        <f ca="1">OFFSET('自動車台帳'!G221,'自動車台帳'!$AP221,0)</f>
        <v>#N/A</v>
      </c>
      <c r="F220" s="150" t="e">
        <f ca="1">OFFSET('自動車台帳'!H221,'自動車台帳'!$AP221,0)</f>
        <v>#N/A</v>
      </c>
      <c r="G220" s="148" t="e">
        <f ca="1">OFFSET('自動車台帳'!I221,'自動車台帳'!$AP221,0)</f>
        <v>#N/A</v>
      </c>
      <c r="H220" s="148" t="e">
        <f ca="1">OFFSET('自動車台帳'!J221,'自動車台帳'!$AP221,0)</f>
        <v>#N/A</v>
      </c>
      <c r="I220" s="149" t="e">
        <f ca="1">OFFSET('自動車台帳'!K221,'自動車台帳'!$AP221,0)</f>
        <v>#N/A</v>
      </c>
      <c r="J220" s="151" t="e">
        <f ca="1">OFFSET('自動車台帳'!L221,'自動車台帳'!$AP221,0)</f>
        <v>#N/A</v>
      </c>
      <c r="K220" s="152" t="e">
        <f ca="1">OFFSET('自動車台帳'!M221,'自動車台帳'!$AP221,0)</f>
        <v>#N/A</v>
      </c>
      <c r="L220" s="152" t="e">
        <f ca="1">OFFSET('自動車台帳'!N221,'自動車台帳'!$AP221,0)</f>
        <v>#N/A</v>
      </c>
      <c r="M220" s="148" t="e">
        <f ca="1">OFFSET('自動車台帳'!AB221,'自動車台帳'!$AP221,0)</f>
        <v>#N/A</v>
      </c>
      <c r="N220" s="148" t="e">
        <f ca="1">OFFSET('自動車台帳'!AC221,'自動車台帳'!$AP221,0)</f>
        <v>#N/A</v>
      </c>
      <c r="O220" s="153" t="e">
        <f ca="1">OFFSET('自動車台帳'!AD221,'自動車台帳'!$AP221,0)</f>
        <v>#N/A</v>
      </c>
      <c r="P220" s="154" t="e">
        <f ca="1">OFFSET('自動車台帳'!AE221,'自動車台帳'!$AP221,0)</f>
        <v>#N/A</v>
      </c>
      <c r="Q220" s="154" t="e">
        <f ca="1">OFFSET('自動車台帳'!AF221,'自動車台帳'!$AP221,0)</f>
        <v>#N/A</v>
      </c>
    </row>
    <row r="221" spans="1:17" ht="13.5">
      <c r="A221" s="148" t="e">
        <f ca="1">OFFSET('自動車台帳'!C222,'自動車台帳'!$AP222,0)</f>
        <v>#N/A</v>
      </c>
      <c r="B221" s="148" t="e">
        <f ca="1">OFFSET('自動車台帳'!D222,'自動車台帳'!$AP222,0)</f>
        <v>#N/A</v>
      </c>
      <c r="C221" s="148" t="e">
        <f ca="1">OFFSET('自動車台帳'!E222,'自動車台帳'!$AP222,0)</f>
        <v>#N/A</v>
      </c>
      <c r="D221" s="148" t="e">
        <f ca="1">OFFSET('自動車台帳'!F222,'自動車台帳'!$AP222,0)</f>
        <v>#N/A</v>
      </c>
      <c r="E221" s="149" t="e">
        <f ca="1">OFFSET('自動車台帳'!G222,'自動車台帳'!$AP222,0)</f>
        <v>#N/A</v>
      </c>
      <c r="F221" s="150" t="e">
        <f ca="1">OFFSET('自動車台帳'!H222,'自動車台帳'!$AP222,0)</f>
        <v>#N/A</v>
      </c>
      <c r="G221" s="148" t="e">
        <f ca="1">OFFSET('自動車台帳'!I222,'自動車台帳'!$AP222,0)</f>
        <v>#N/A</v>
      </c>
      <c r="H221" s="148" t="e">
        <f ca="1">OFFSET('自動車台帳'!J222,'自動車台帳'!$AP222,0)</f>
        <v>#N/A</v>
      </c>
      <c r="I221" s="149" t="e">
        <f ca="1">OFFSET('自動車台帳'!K222,'自動車台帳'!$AP222,0)</f>
        <v>#N/A</v>
      </c>
      <c r="J221" s="151" t="e">
        <f ca="1">OFFSET('自動車台帳'!L222,'自動車台帳'!$AP222,0)</f>
        <v>#N/A</v>
      </c>
      <c r="K221" s="152" t="e">
        <f ca="1">OFFSET('自動車台帳'!M222,'自動車台帳'!$AP222,0)</f>
        <v>#N/A</v>
      </c>
      <c r="L221" s="152" t="e">
        <f ca="1">OFFSET('自動車台帳'!N222,'自動車台帳'!$AP222,0)</f>
        <v>#N/A</v>
      </c>
      <c r="M221" s="148" t="e">
        <f ca="1">OFFSET('自動車台帳'!AB222,'自動車台帳'!$AP222,0)</f>
        <v>#N/A</v>
      </c>
      <c r="N221" s="148" t="e">
        <f ca="1">OFFSET('自動車台帳'!AC222,'自動車台帳'!$AP222,0)</f>
        <v>#N/A</v>
      </c>
      <c r="O221" s="153" t="e">
        <f ca="1">OFFSET('自動車台帳'!AD222,'自動車台帳'!$AP222,0)</f>
        <v>#N/A</v>
      </c>
      <c r="P221" s="154" t="e">
        <f ca="1">OFFSET('自動車台帳'!AE222,'自動車台帳'!$AP222,0)</f>
        <v>#N/A</v>
      </c>
      <c r="Q221" s="154" t="e">
        <f ca="1">OFFSET('自動車台帳'!AF222,'自動車台帳'!$AP222,0)</f>
        <v>#N/A</v>
      </c>
    </row>
    <row r="222" spans="1:17" ht="13.5">
      <c r="A222" s="148" t="e">
        <f ca="1">OFFSET('自動車台帳'!C223,'自動車台帳'!$AP223,0)</f>
        <v>#N/A</v>
      </c>
      <c r="B222" s="148" t="e">
        <f ca="1">OFFSET('自動車台帳'!D223,'自動車台帳'!$AP223,0)</f>
        <v>#N/A</v>
      </c>
      <c r="C222" s="148" t="e">
        <f ca="1">OFFSET('自動車台帳'!E223,'自動車台帳'!$AP223,0)</f>
        <v>#N/A</v>
      </c>
      <c r="D222" s="148" t="e">
        <f ca="1">OFFSET('自動車台帳'!F223,'自動車台帳'!$AP223,0)</f>
        <v>#N/A</v>
      </c>
      <c r="E222" s="149" t="e">
        <f ca="1">OFFSET('自動車台帳'!G223,'自動車台帳'!$AP223,0)</f>
        <v>#N/A</v>
      </c>
      <c r="F222" s="150" t="e">
        <f ca="1">OFFSET('自動車台帳'!H223,'自動車台帳'!$AP223,0)</f>
        <v>#N/A</v>
      </c>
      <c r="G222" s="148" t="e">
        <f ca="1">OFFSET('自動車台帳'!I223,'自動車台帳'!$AP223,0)</f>
        <v>#N/A</v>
      </c>
      <c r="H222" s="148" t="e">
        <f ca="1">OFFSET('自動車台帳'!J223,'自動車台帳'!$AP223,0)</f>
        <v>#N/A</v>
      </c>
      <c r="I222" s="149" t="e">
        <f ca="1">OFFSET('自動車台帳'!K223,'自動車台帳'!$AP223,0)</f>
        <v>#N/A</v>
      </c>
      <c r="J222" s="151" t="e">
        <f ca="1">OFFSET('自動車台帳'!L223,'自動車台帳'!$AP223,0)</f>
        <v>#N/A</v>
      </c>
      <c r="K222" s="152" t="e">
        <f ca="1">OFFSET('自動車台帳'!M223,'自動車台帳'!$AP223,0)</f>
        <v>#N/A</v>
      </c>
      <c r="L222" s="152" t="e">
        <f ca="1">OFFSET('自動車台帳'!N223,'自動車台帳'!$AP223,0)</f>
        <v>#N/A</v>
      </c>
      <c r="M222" s="148" t="e">
        <f ca="1">OFFSET('自動車台帳'!AB223,'自動車台帳'!$AP223,0)</f>
        <v>#N/A</v>
      </c>
      <c r="N222" s="148" t="e">
        <f ca="1">OFFSET('自動車台帳'!AC223,'自動車台帳'!$AP223,0)</f>
        <v>#N/A</v>
      </c>
      <c r="O222" s="153" t="e">
        <f ca="1">OFFSET('自動車台帳'!AD223,'自動車台帳'!$AP223,0)</f>
        <v>#N/A</v>
      </c>
      <c r="P222" s="154" t="e">
        <f ca="1">OFFSET('自動車台帳'!AE223,'自動車台帳'!$AP223,0)</f>
        <v>#N/A</v>
      </c>
      <c r="Q222" s="154" t="e">
        <f ca="1">OFFSET('自動車台帳'!AF223,'自動車台帳'!$AP223,0)</f>
        <v>#N/A</v>
      </c>
    </row>
    <row r="223" spans="1:17" ht="13.5">
      <c r="A223" s="148" t="e">
        <f ca="1">OFFSET('自動車台帳'!C224,'自動車台帳'!$AP224,0)</f>
        <v>#N/A</v>
      </c>
      <c r="B223" s="148" t="e">
        <f ca="1">OFFSET('自動車台帳'!D224,'自動車台帳'!$AP224,0)</f>
        <v>#N/A</v>
      </c>
      <c r="C223" s="148" t="e">
        <f ca="1">OFFSET('自動車台帳'!E224,'自動車台帳'!$AP224,0)</f>
        <v>#N/A</v>
      </c>
      <c r="D223" s="148" t="e">
        <f ca="1">OFFSET('自動車台帳'!F224,'自動車台帳'!$AP224,0)</f>
        <v>#N/A</v>
      </c>
      <c r="E223" s="149" t="e">
        <f ca="1">OFFSET('自動車台帳'!G224,'自動車台帳'!$AP224,0)</f>
        <v>#N/A</v>
      </c>
      <c r="F223" s="150" t="e">
        <f ca="1">OFFSET('自動車台帳'!H224,'自動車台帳'!$AP224,0)</f>
        <v>#N/A</v>
      </c>
      <c r="G223" s="148" t="e">
        <f ca="1">OFFSET('自動車台帳'!I224,'自動車台帳'!$AP224,0)</f>
        <v>#N/A</v>
      </c>
      <c r="H223" s="148" t="e">
        <f ca="1">OFFSET('自動車台帳'!J224,'自動車台帳'!$AP224,0)</f>
        <v>#N/A</v>
      </c>
      <c r="I223" s="149" t="e">
        <f ca="1">OFFSET('自動車台帳'!K224,'自動車台帳'!$AP224,0)</f>
        <v>#N/A</v>
      </c>
      <c r="J223" s="151" t="e">
        <f ca="1">OFFSET('自動車台帳'!L224,'自動車台帳'!$AP224,0)</f>
        <v>#N/A</v>
      </c>
      <c r="K223" s="152" t="e">
        <f ca="1">OFFSET('自動車台帳'!M224,'自動車台帳'!$AP224,0)</f>
        <v>#N/A</v>
      </c>
      <c r="L223" s="152" t="e">
        <f ca="1">OFFSET('自動車台帳'!N224,'自動車台帳'!$AP224,0)</f>
        <v>#N/A</v>
      </c>
      <c r="M223" s="148" t="e">
        <f ca="1">OFFSET('自動車台帳'!AB224,'自動車台帳'!$AP224,0)</f>
        <v>#N/A</v>
      </c>
      <c r="N223" s="148" t="e">
        <f ca="1">OFFSET('自動車台帳'!AC224,'自動車台帳'!$AP224,0)</f>
        <v>#N/A</v>
      </c>
      <c r="O223" s="153" t="e">
        <f ca="1">OFFSET('自動車台帳'!AD224,'自動車台帳'!$AP224,0)</f>
        <v>#N/A</v>
      </c>
      <c r="P223" s="154" t="e">
        <f ca="1">OFFSET('自動車台帳'!AE224,'自動車台帳'!$AP224,0)</f>
        <v>#N/A</v>
      </c>
      <c r="Q223" s="154" t="e">
        <f ca="1">OFFSET('自動車台帳'!AF224,'自動車台帳'!$AP224,0)</f>
        <v>#N/A</v>
      </c>
    </row>
    <row r="224" spans="1:17" ht="13.5">
      <c r="A224" s="148" t="e">
        <f ca="1">OFFSET('自動車台帳'!C225,'自動車台帳'!$AP225,0)</f>
        <v>#N/A</v>
      </c>
      <c r="B224" s="148" t="e">
        <f ca="1">OFFSET('自動車台帳'!D225,'自動車台帳'!$AP225,0)</f>
        <v>#N/A</v>
      </c>
      <c r="C224" s="148" t="e">
        <f ca="1">OFFSET('自動車台帳'!E225,'自動車台帳'!$AP225,0)</f>
        <v>#N/A</v>
      </c>
      <c r="D224" s="148" t="e">
        <f ca="1">OFFSET('自動車台帳'!F225,'自動車台帳'!$AP225,0)</f>
        <v>#N/A</v>
      </c>
      <c r="E224" s="149" t="e">
        <f ca="1">OFFSET('自動車台帳'!G225,'自動車台帳'!$AP225,0)</f>
        <v>#N/A</v>
      </c>
      <c r="F224" s="150" t="e">
        <f ca="1">OFFSET('自動車台帳'!H225,'自動車台帳'!$AP225,0)</f>
        <v>#N/A</v>
      </c>
      <c r="G224" s="148" t="e">
        <f ca="1">OFFSET('自動車台帳'!I225,'自動車台帳'!$AP225,0)</f>
        <v>#N/A</v>
      </c>
      <c r="H224" s="148" t="e">
        <f ca="1">OFFSET('自動車台帳'!J225,'自動車台帳'!$AP225,0)</f>
        <v>#N/A</v>
      </c>
      <c r="I224" s="149" t="e">
        <f ca="1">OFFSET('自動車台帳'!K225,'自動車台帳'!$AP225,0)</f>
        <v>#N/A</v>
      </c>
      <c r="J224" s="151" t="e">
        <f ca="1">OFFSET('自動車台帳'!L225,'自動車台帳'!$AP225,0)</f>
        <v>#N/A</v>
      </c>
      <c r="K224" s="152" t="e">
        <f ca="1">OFFSET('自動車台帳'!M225,'自動車台帳'!$AP225,0)</f>
        <v>#N/A</v>
      </c>
      <c r="L224" s="152" t="e">
        <f ca="1">OFFSET('自動車台帳'!N225,'自動車台帳'!$AP225,0)</f>
        <v>#N/A</v>
      </c>
      <c r="M224" s="148" t="e">
        <f ca="1">OFFSET('自動車台帳'!AB225,'自動車台帳'!$AP225,0)</f>
        <v>#N/A</v>
      </c>
      <c r="N224" s="148" t="e">
        <f ca="1">OFFSET('自動車台帳'!AC225,'自動車台帳'!$AP225,0)</f>
        <v>#N/A</v>
      </c>
      <c r="O224" s="153" t="e">
        <f ca="1">OFFSET('自動車台帳'!AD225,'自動車台帳'!$AP225,0)</f>
        <v>#N/A</v>
      </c>
      <c r="P224" s="154" t="e">
        <f ca="1">OFFSET('自動車台帳'!AE225,'自動車台帳'!$AP225,0)</f>
        <v>#N/A</v>
      </c>
      <c r="Q224" s="154" t="e">
        <f ca="1">OFFSET('自動車台帳'!AF225,'自動車台帳'!$AP225,0)</f>
        <v>#N/A</v>
      </c>
    </row>
    <row r="225" spans="1:17" ht="13.5">
      <c r="A225" s="148" t="e">
        <f ca="1">OFFSET('自動車台帳'!C226,'自動車台帳'!$AP226,0)</f>
        <v>#N/A</v>
      </c>
      <c r="B225" s="148" t="e">
        <f ca="1">OFFSET('自動車台帳'!D226,'自動車台帳'!$AP226,0)</f>
        <v>#N/A</v>
      </c>
      <c r="C225" s="148" t="e">
        <f ca="1">OFFSET('自動車台帳'!E226,'自動車台帳'!$AP226,0)</f>
        <v>#N/A</v>
      </c>
      <c r="D225" s="148" t="e">
        <f ca="1">OFFSET('自動車台帳'!F226,'自動車台帳'!$AP226,0)</f>
        <v>#N/A</v>
      </c>
      <c r="E225" s="149" t="e">
        <f ca="1">OFFSET('自動車台帳'!G226,'自動車台帳'!$AP226,0)</f>
        <v>#N/A</v>
      </c>
      <c r="F225" s="150" t="e">
        <f ca="1">OFFSET('自動車台帳'!H226,'自動車台帳'!$AP226,0)</f>
        <v>#N/A</v>
      </c>
      <c r="G225" s="148" t="e">
        <f ca="1">OFFSET('自動車台帳'!I226,'自動車台帳'!$AP226,0)</f>
        <v>#N/A</v>
      </c>
      <c r="H225" s="148" t="e">
        <f ca="1">OFFSET('自動車台帳'!J226,'自動車台帳'!$AP226,0)</f>
        <v>#N/A</v>
      </c>
      <c r="I225" s="149" t="e">
        <f ca="1">OFFSET('自動車台帳'!K226,'自動車台帳'!$AP226,0)</f>
        <v>#N/A</v>
      </c>
      <c r="J225" s="151" t="e">
        <f ca="1">OFFSET('自動車台帳'!L226,'自動車台帳'!$AP226,0)</f>
        <v>#N/A</v>
      </c>
      <c r="K225" s="152" t="e">
        <f ca="1">OFFSET('自動車台帳'!M226,'自動車台帳'!$AP226,0)</f>
        <v>#N/A</v>
      </c>
      <c r="L225" s="152" t="e">
        <f ca="1">OFFSET('自動車台帳'!N226,'自動車台帳'!$AP226,0)</f>
        <v>#N/A</v>
      </c>
      <c r="M225" s="148" t="e">
        <f ca="1">OFFSET('自動車台帳'!AB226,'自動車台帳'!$AP226,0)</f>
        <v>#N/A</v>
      </c>
      <c r="N225" s="148" t="e">
        <f ca="1">OFFSET('自動車台帳'!AC226,'自動車台帳'!$AP226,0)</f>
        <v>#N/A</v>
      </c>
      <c r="O225" s="153" t="e">
        <f ca="1">OFFSET('自動車台帳'!AD226,'自動車台帳'!$AP226,0)</f>
        <v>#N/A</v>
      </c>
      <c r="P225" s="154" t="e">
        <f ca="1">OFFSET('自動車台帳'!AE226,'自動車台帳'!$AP226,0)</f>
        <v>#N/A</v>
      </c>
      <c r="Q225" s="154" t="e">
        <f ca="1">OFFSET('自動車台帳'!AF226,'自動車台帳'!$AP226,0)</f>
        <v>#N/A</v>
      </c>
    </row>
    <row r="226" spans="1:17" ht="13.5">
      <c r="A226" s="148" t="e">
        <f ca="1">OFFSET('自動車台帳'!C227,'自動車台帳'!$AP227,0)</f>
        <v>#N/A</v>
      </c>
      <c r="B226" s="148" t="e">
        <f ca="1">OFFSET('自動車台帳'!D227,'自動車台帳'!$AP227,0)</f>
        <v>#N/A</v>
      </c>
      <c r="C226" s="148" t="e">
        <f ca="1">OFFSET('自動車台帳'!E227,'自動車台帳'!$AP227,0)</f>
        <v>#N/A</v>
      </c>
      <c r="D226" s="148" t="e">
        <f ca="1">OFFSET('自動車台帳'!F227,'自動車台帳'!$AP227,0)</f>
        <v>#N/A</v>
      </c>
      <c r="E226" s="149" t="e">
        <f ca="1">OFFSET('自動車台帳'!G227,'自動車台帳'!$AP227,0)</f>
        <v>#N/A</v>
      </c>
      <c r="F226" s="150" t="e">
        <f ca="1">OFFSET('自動車台帳'!H227,'自動車台帳'!$AP227,0)</f>
        <v>#N/A</v>
      </c>
      <c r="G226" s="148" t="e">
        <f ca="1">OFFSET('自動車台帳'!I227,'自動車台帳'!$AP227,0)</f>
        <v>#N/A</v>
      </c>
      <c r="H226" s="148" t="e">
        <f ca="1">OFFSET('自動車台帳'!J227,'自動車台帳'!$AP227,0)</f>
        <v>#N/A</v>
      </c>
      <c r="I226" s="149" t="e">
        <f ca="1">OFFSET('自動車台帳'!K227,'自動車台帳'!$AP227,0)</f>
        <v>#N/A</v>
      </c>
      <c r="J226" s="151" t="e">
        <f ca="1">OFFSET('自動車台帳'!L227,'自動車台帳'!$AP227,0)</f>
        <v>#N/A</v>
      </c>
      <c r="K226" s="152" t="e">
        <f ca="1">OFFSET('自動車台帳'!M227,'自動車台帳'!$AP227,0)</f>
        <v>#N/A</v>
      </c>
      <c r="L226" s="152" t="e">
        <f ca="1">OFFSET('自動車台帳'!N227,'自動車台帳'!$AP227,0)</f>
        <v>#N/A</v>
      </c>
      <c r="M226" s="148" t="e">
        <f ca="1">OFFSET('自動車台帳'!AB227,'自動車台帳'!$AP227,0)</f>
        <v>#N/A</v>
      </c>
      <c r="N226" s="148" t="e">
        <f ca="1">OFFSET('自動車台帳'!AC227,'自動車台帳'!$AP227,0)</f>
        <v>#N/A</v>
      </c>
      <c r="O226" s="153" t="e">
        <f ca="1">OFFSET('自動車台帳'!AD227,'自動車台帳'!$AP227,0)</f>
        <v>#N/A</v>
      </c>
      <c r="P226" s="154" t="e">
        <f ca="1">OFFSET('自動車台帳'!AE227,'自動車台帳'!$AP227,0)</f>
        <v>#N/A</v>
      </c>
      <c r="Q226" s="154" t="e">
        <f ca="1">OFFSET('自動車台帳'!AF227,'自動車台帳'!$AP227,0)</f>
        <v>#N/A</v>
      </c>
    </row>
    <row r="227" spans="1:17" ht="13.5">
      <c r="A227" s="148" t="e">
        <f ca="1">OFFSET('自動車台帳'!C228,'自動車台帳'!$AP228,0)</f>
        <v>#N/A</v>
      </c>
      <c r="B227" s="148" t="e">
        <f ca="1">OFFSET('自動車台帳'!D228,'自動車台帳'!$AP228,0)</f>
        <v>#N/A</v>
      </c>
      <c r="C227" s="148" t="e">
        <f ca="1">OFFSET('自動車台帳'!E228,'自動車台帳'!$AP228,0)</f>
        <v>#N/A</v>
      </c>
      <c r="D227" s="148" t="e">
        <f ca="1">OFFSET('自動車台帳'!F228,'自動車台帳'!$AP228,0)</f>
        <v>#N/A</v>
      </c>
      <c r="E227" s="149" t="e">
        <f ca="1">OFFSET('自動車台帳'!G228,'自動車台帳'!$AP228,0)</f>
        <v>#N/A</v>
      </c>
      <c r="F227" s="150" t="e">
        <f ca="1">OFFSET('自動車台帳'!H228,'自動車台帳'!$AP228,0)</f>
        <v>#N/A</v>
      </c>
      <c r="G227" s="148" t="e">
        <f ca="1">OFFSET('自動車台帳'!I228,'自動車台帳'!$AP228,0)</f>
        <v>#N/A</v>
      </c>
      <c r="H227" s="148" t="e">
        <f ca="1">OFFSET('自動車台帳'!J228,'自動車台帳'!$AP228,0)</f>
        <v>#N/A</v>
      </c>
      <c r="I227" s="149" t="e">
        <f ca="1">OFFSET('自動車台帳'!K228,'自動車台帳'!$AP228,0)</f>
        <v>#N/A</v>
      </c>
      <c r="J227" s="151" t="e">
        <f ca="1">OFFSET('自動車台帳'!L228,'自動車台帳'!$AP228,0)</f>
        <v>#N/A</v>
      </c>
      <c r="K227" s="152" t="e">
        <f ca="1">OFFSET('自動車台帳'!M228,'自動車台帳'!$AP228,0)</f>
        <v>#N/A</v>
      </c>
      <c r="L227" s="152" t="e">
        <f ca="1">OFFSET('自動車台帳'!N228,'自動車台帳'!$AP228,0)</f>
        <v>#N/A</v>
      </c>
      <c r="M227" s="148" t="e">
        <f ca="1">OFFSET('自動車台帳'!AB228,'自動車台帳'!$AP228,0)</f>
        <v>#N/A</v>
      </c>
      <c r="N227" s="148" t="e">
        <f ca="1">OFFSET('自動車台帳'!AC228,'自動車台帳'!$AP228,0)</f>
        <v>#N/A</v>
      </c>
      <c r="O227" s="153" t="e">
        <f ca="1">OFFSET('自動車台帳'!AD228,'自動車台帳'!$AP228,0)</f>
        <v>#N/A</v>
      </c>
      <c r="P227" s="154" t="e">
        <f ca="1">OFFSET('自動車台帳'!AE228,'自動車台帳'!$AP228,0)</f>
        <v>#N/A</v>
      </c>
      <c r="Q227" s="154" t="e">
        <f ca="1">OFFSET('自動車台帳'!AF228,'自動車台帳'!$AP228,0)</f>
        <v>#N/A</v>
      </c>
    </row>
    <row r="228" spans="1:17" ht="13.5">
      <c r="A228" s="148" t="e">
        <f ca="1">OFFSET('自動車台帳'!C229,'自動車台帳'!$AP229,0)</f>
        <v>#N/A</v>
      </c>
      <c r="B228" s="148" t="e">
        <f ca="1">OFFSET('自動車台帳'!D229,'自動車台帳'!$AP229,0)</f>
        <v>#N/A</v>
      </c>
      <c r="C228" s="148" t="e">
        <f ca="1">OFFSET('自動車台帳'!E229,'自動車台帳'!$AP229,0)</f>
        <v>#N/A</v>
      </c>
      <c r="D228" s="148" t="e">
        <f ca="1">OFFSET('自動車台帳'!F229,'自動車台帳'!$AP229,0)</f>
        <v>#N/A</v>
      </c>
      <c r="E228" s="149" t="e">
        <f ca="1">OFFSET('自動車台帳'!G229,'自動車台帳'!$AP229,0)</f>
        <v>#N/A</v>
      </c>
      <c r="F228" s="150" t="e">
        <f ca="1">OFFSET('自動車台帳'!H229,'自動車台帳'!$AP229,0)</f>
        <v>#N/A</v>
      </c>
      <c r="G228" s="148" t="e">
        <f ca="1">OFFSET('自動車台帳'!I229,'自動車台帳'!$AP229,0)</f>
        <v>#N/A</v>
      </c>
      <c r="H228" s="148" t="e">
        <f ca="1">OFFSET('自動車台帳'!J229,'自動車台帳'!$AP229,0)</f>
        <v>#N/A</v>
      </c>
      <c r="I228" s="149" t="e">
        <f ca="1">OFFSET('自動車台帳'!K229,'自動車台帳'!$AP229,0)</f>
        <v>#N/A</v>
      </c>
      <c r="J228" s="151" t="e">
        <f ca="1">OFFSET('自動車台帳'!L229,'自動車台帳'!$AP229,0)</f>
        <v>#N/A</v>
      </c>
      <c r="K228" s="152" t="e">
        <f ca="1">OFFSET('自動車台帳'!M229,'自動車台帳'!$AP229,0)</f>
        <v>#N/A</v>
      </c>
      <c r="L228" s="152" t="e">
        <f ca="1">OFFSET('自動車台帳'!N229,'自動車台帳'!$AP229,0)</f>
        <v>#N/A</v>
      </c>
      <c r="M228" s="148" t="e">
        <f ca="1">OFFSET('自動車台帳'!AB229,'自動車台帳'!$AP229,0)</f>
        <v>#N/A</v>
      </c>
      <c r="N228" s="148" t="e">
        <f ca="1">OFFSET('自動車台帳'!AC229,'自動車台帳'!$AP229,0)</f>
        <v>#N/A</v>
      </c>
      <c r="O228" s="153" t="e">
        <f ca="1">OFFSET('自動車台帳'!AD229,'自動車台帳'!$AP229,0)</f>
        <v>#N/A</v>
      </c>
      <c r="P228" s="154" t="e">
        <f ca="1">OFFSET('自動車台帳'!AE229,'自動車台帳'!$AP229,0)</f>
        <v>#N/A</v>
      </c>
      <c r="Q228" s="154" t="e">
        <f ca="1">OFFSET('自動車台帳'!AF229,'自動車台帳'!$AP229,0)</f>
        <v>#N/A</v>
      </c>
    </row>
    <row r="229" spans="1:17" ht="13.5">
      <c r="A229" s="148" t="e">
        <f ca="1">OFFSET('自動車台帳'!C230,'自動車台帳'!$AP230,0)</f>
        <v>#N/A</v>
      </c>
      <c r="B229" s="148" t="e">
        <f ca="1">OFFSET('自動車台帳'!D230,'自動車台帳'!$AP230,0)</f>
        <v>#N/A</v>
      </c>
      <c r="C229" s="148" t="e">
        <f ca="1">OFFSET('自動車台帳'!E230,'自動車台帳'!$AP230,0)</f>
        <v>#N/A</v>
      </c>
      <c r="D229" s="148" t="e">
        <f ca="1">OFFSET('自動車台帳'!F230,'自動車台帳'!$AP230,0)</f>
        <v>#N/A</v>
      </c>
      <c r="E229" s="149" t="e">
        <f ca="1">OFFSET('自動車台帳'!G230,'自動車台帳'!$AP230,0)</f>
        <v>#N/A</v>
      </c>
      <c r="F229" s="150" t="e">
        <f ca="1">OFFSET('自動車台帳'!H230,'自動車台帳'!$AP230,0)</f>
        <v>#N/A</v>
      </c>
      <c r="G229" s="148" t="e">
        <f ca="1">OFFSET('自動車台帳'!I230,'自動車台帳'!$AP230,0)</f>
        <v>#N/A</v>
      </c>
      <c r="H229" s="148" t="e">
        <f ca="1">OFFSET('自動車台帳'!J230,'自動車台帳'!$AP230,0)</f>
        <v>#N/A</v>
      </c>
      <c r="I229" s="149" t="e">
        <f ca="1">OFFSET('自動車台帳'!K230,'自動車台帳'!$AP230,0)</f>
        <v>#N/A</v>
      </c>
      <c r="J229" s="151" t="e">
        <f ca="1">OFFSET('自動車台帳'!L230,'自動車台帳'!$AP230,0)</f>
        <v>#N/A</v>
      </c>
      <c r="K229" s="152" t="e">
        <f ca="1">OFFSET('自動車台帳'!M230,'自動車台帳'!$AP230,0)</f>
        <v>#N/A</v>
      </c>
      <c r="L229" s="152" t="e">
        <f ca="1">OFFSET('自動車台帳'!N230,'自動車台帳'!$AP230,0)</f>
        <v>#N/A</v>
      </c>
      <c r="M229" s="148" t="e">
        <f ca="1">OFFSET('自動車台帳'!AB230,'自動車台帳'!$AP230,0)</f>
        <v>#N/A</v>
      </c>
      <c r="N229" s="148" t="e">
        <f ca="1">OFFSET('自動車台帳'!AC230,'自動車台帳'!$AP230,0)</f>
        <v>#N/A</v>
      </c>
      <c r="O229" s="153" t="e">
        <f ca="1">OFFSET('自動車台帳'!AD230,'自動車台帳'!$AP230,0)</f>
        <v>#N/A</v>
      </c>
      <c r="P229" s="154" t="e">
        <f ca="1">OFFSET('自動車台帳'!AE230,'自動車台帳'!$AP230,0)</f>
        <v>#N/A</v>
      </c>
      <c r="Q229" s="154" t="e">
        <f ca="1">OFFSET('自動車台帳'!AF230,'自動車台帳'!$AP230,0)</f>
        <v>#N/A</v>
      </c>
    </row>
    <row r="230" spans="1:17" ht="13.5">
      <c r="A230" s="148" t="e">
        <f ca="1">OFFSET('自動車台帳'!C231,'自動車台帳'!$AP231,0)</f>
        <v>#N/A</v>
      </c>
      <c r="B230" s="148" t="e">
        <f ca="1">OFFSET('自動車台帳'!D231,'自動車台帳'!$AP231,0)</f>
        <v>#N/A</v>
      </c>
      <c r="C230" s="148" t="e">
        <f ca="1">OFFSET('自動車台帳'!E231,'自動車台帳'!$AP231,0)</f>
        <v>#N/A</v>
      </c>
      <c r="D230" s="148" t="e">
        <f ca="1">OFFSET('自動車台帳'!F231,'自動車台帳'!$AP231,0)</f>
        <v>#N/A</v>
      </c>
      <c r="E230" s="149" t="e">
        <f ca="1">OFFSET('自動車台帳'!G231,'自動車台帳'!$AP231,0)</f>
        <v>#N/A</v>
      </c>
      <c r="F230" s="150" t="e">
        <f ca="1">OFFSET('自動車台帳'!H231,'自動車台帳'!$AP231,0)</f>
        <v>#N/A</v>
      </c>
      <c r="G230" s="148" t="e">
        <f ca="1">OFFSET('自動車台帳'!I231,'自動車台帳'!$AP231,0)</f>
        <v>#N/A</v>
      </c>
      <c r="H230" s="148" t="e">
        <f ca="1">OFFSET('自動車台帳'!J231,'自動車台帳'!$AP231,0)</f>
        <v>#N/A</v>
      </c>
      <c r="I230" s="149" t="e">
        <f ca="1">OFFSET('自動車台帳'!K231,'自動車台帳'!$AP231,0)</f>
        <v>#N/A</v>
      </c>
      <c r="J230" s="151" t="e">
        <f ca="1">OFFSET('自動車台帳'!L231,'自動車台帳'!$AP231,0)</f>
        <v>#N/A</v>
      </c>
      <c r="K230" s="152" t="e">
        <f ca="1">OFFSET('自動車台帳'!M231,'自動車台帳'!$AP231,0)</f>
        <v>#N/A</v>
      </c>
      <c r="L230" s="152" t="e">
        <f ca="1">OFFSET('自動車台帳'!N231,'自動車台帳'!$AP231,0)</f>
        <v>#N/A</v>
      </c>
      <c r="M230" s="148" t="e">
        <f ca="1">OFFSET('自動車台帳'!AB231,'自動車台帳'!$AP231,0)</f>
        <v>#N/A</v>
      </c>
      <c r="N230" s="148" t="e">
        <f ca="1">OFFSET('自動車台帳'!AC231,'自動車台帳'!$AP231,0)</f>
        <v>#N/A</v>
      </c>
      <c r="O230" s="153" t="e">
        <f ca="1">OFFSET('自動車台帳'!AD231,'自動車台帳'!$AP231,0)</f>
        <v>#N/A</v>
      </c>
      <c r="P230" s="154" t="e">
        <f ca="1">OFFSET('自動車台帳'!AE231,'自動車台帳'!$AP231,0)</f>
        <v>#N/A</v>
      </c>
      <c r="Q230" s="154" t="e">
        <f ca="1">OFFSET('自動車台帳'!AF231,'自動車台帳'!$AP231,0)</f>
        <v>#N/A</v>
      </c>
    </row>
    <row r="231" spans="1:17" ht="13.5">
      <c r="A231" s="148" t="e">
        <f ca="1">OFFSET('自動車台帳'!C232,'自動車台帳'!$AP232,0)</f>
        <v>#N/A</v>
      </c>
      <c r="B231" s="148" t="e">
        <f ca="1">OFFSET('自動車台帳'!D232,'自動車台帳'!$AP232,0)</f>
        <v>#N/A</v>
      </c>
      <c r="C231" s="148" t="e">
        <f ca="1">OFFSET('自動車台帳'!E232,'自動車台帳'!$AP232,0)</f>
        <v>#N/A</v>
      </c>
      <c r="D231" s="148" t="e">
        <f ca="1">OFFSET('自動車台帳'!F232,'自動車台帳'!$AP232,0)</f>
        <v>#N/A</v>
      </c>
      <c r="E231" s="149" t="e">
        <f ca="1">OFFSET('自動車台帳'!G232,'自動車台帳'!$AP232,0)</f>
        <v>#N/A</v>
      </c>
      <c r="F231" s="150" t="e">
        <f ca="1">OFFSET('自動車台帳'!H232,'自動車台帳'!$AP232,0)</f>
        <v>#N/A</v>
      </c>
      <c r="G231" s="148" t="e">
        <f ca="1">OFFSET('自動車台帳'!I232,'自動車台帳'!$AP232,0)</f>
        <v>#N/A</v>
      </c>
      <c r="H231" s="148" t="e">
        <f ca="1">OFFSET('自動車台帳'!J232,'自動車台帳'!$AP232,0)</f>
        <v>#N/A</v>
      </c>
      <c r="I231" s="149" t="e">
        <f ca="1">OFFSET('自動車台帳'!K232,'自動車台帳'!$AP232,0)</f>
        <v>#N/A</v>
      </c>
      <c r="J231" s="151" t="e">
        <f ca="1">OFFSET('自動車台帳'!L232,'自動車台帳'!$AP232,0)</f>
        <v>#N/A</v>
      </c>
      <c r="K231" s="152" t="e">
        <f ca="1">OFFSET('自動車台帳'!M232,'自動車台帳'!$AP232,0)</f>
        <v>#N/A</v>
      </c>
      <c r="L231" s="152" t="e">
        <f ca="1">OFFSET('自動車台帳'!N232,'自動車台帳'!$AP232,0)</f>
        <v>#N/A</v>
      </c>
      <c r="M231" s="148" t="e">
        <f ca="1">OFFSET('自動車台帳'!AB232,'自動車台帳'!$AP232,0)</f>
        <v>#N/A</v>
      </c>
      <c r="N231" s="148" t="e">
        <f ca="1">OFFSET('自動車台帳'!AC232,'自動車台帳'!$AP232,0)</f>
        <v>#N/A</v>
      </c>
      <c r="O231" s="153" t="e">
        <f ca="1">OFFSET('自動車台帳'!AD232,'自動車台帳'!$AP232,0)</f>
        <v>#N/A</v>
      </c>
      <c r="P231" s="154" t="e">
        <f ca="1">OFFSET('自動車台帳'!AE232,'自動車台帳'!$AP232,0)</f>
        <v>#N/A</v>
      </c>
      <c r="Q231" s="154" t="e">
        <f ca="1">OFFSET('自動車台帳'!AF232,'自動車台帳'!$AP232,0)</f>
        <v>#N/A</v>
      </c>
    </row>
    <row r="232" spans="1:17" ht="13.5">
      <c r="A232" s="148" t="e">
        <f ca="1">OFFSET('自動車台帳'!C233,'自動車台帳'!$AP233,0)</f>
        <v>#N/A</v>
      </c>
      <c r="B232" s="148" t="e">
        <f ca="1">OFFSET('自動車台帳'!D233,'自動車台帳'!$AP233,0)</f>
        <v>#N/A</v>
      </c>
      <c r="C232" s="148" t="e">
        <f ca="1">OFFSET('自動車台帳'!E233,'自動車台帳'!$AP233,0)</f>
        <v>#N/A</v>
      </c>
      <c r="D232" s="148" t="e">
        <f ca="1">OFFSET('自動車台帳'!F233,'自動車台帳'!$AP233,0)</f>
        <v>#N/A</v>
      </c>
      <c r="E232" s="149" t="e">
        <f ca="1">OFFSET('自動車台帳'!G233,'自動車台帳'!$AP233,0)</f>
        <v>#N/A</v>
      </c>
      <c r="F232" s="150" t="e">
        <f ca="1">OFFSET('自動車台帳'!H233,'自動車台帳'!$AP233,0)</f>
        <v>#N/A</v>
      </c>
      <c r="G232" s="148" t="e">
        <f ca="1">OFFSET('自動車台帳'!I233,'自動車台帳'!$AP233,0)</f>
        <v>#N/A</v>
      </c>
      <c r="H232" s="148" t="e">
        <f ca="1">OFFSET('自動車台帳'!J233,'自動車台帳'!$AP233,0)</f>
        <v>#N/A</v>
      </c>
      <c r="I232" s="149" t="e">
        <f ca="1">OFFSET('自動車台帳'!K233,'自動車台帳'!$AP233,0)</f>
        <v>#N/A</v>
      </c>
      <c r="J232" s="151" t="e">
        <f ca="1">OFFSET('自動車台帳'!L233,'自動車台帳'!$AP233,0)</f>
        <v>#N/A</v>
      </c>
      <c r="K232" s="152" t="e">
        <f ca="1">OFFSET('自動車台帳'!M233,'自動車台帳'!$AP233,0)</f>
        <v>#N/A</v>
      </c>
      <c r="L232" s="152" t="e">
        <f ca="1">OFFSET('自動車台帳'!N233,'自動車台帳'!$AP233,0)</f>
        <v>#N/A</v>
      </c>
      <c r="M232" s="148" t="e">
        <f ca="1">OFFSET('自動車台帳'!AB233,'自動車台帳'!$AP233,0)</f>
        <v>#N/A</v>
      </c>
      <c r="N232" s="148" t="e">
        <f ca="1">OFFSET('自動車台帳'!AC233,'自動車台帳'!$AP233,0)</f>
        <v>#N/A</v>
      </c>
      <c r="O232" s="153" t="e">
        <f ca="1">OFFSET('自動車台帳'!AD233,'自動車台帳'!$AP233,0)</f>
        <v>#N/A</v>
      </c>
      <c r="P232" s="154" t="e">
        <f ca="1">OFFSET('自動車台帳'!AE233,'自動車台帳'!$AP233,0)</f>
        <v>#N/A</v>
      </c>
      <c r="Q232" s="154" t="e">
        <f ca="1">OFFSET('自動車台帳'!AF233,'自動車台帳'!$AP233,0)</f>
        <v>#N/A</v>
      </c>
    </row>
    <row r="233" spans="1:17" ht="13.5">
      <c r="A233" s="148" t="e">
        <f ca="1">OFFSET('自動車台帳'!C234,'自動車台帳'!$AP234,0)</f>
        <v>#N/A</v>
      </c>
      <c r="B233" s="148" t="e">
        <f ca="1">OFFSET('自動車台帳'!D234,'自動車台帳'!$AP234,0)</f>
        <v>#N/A</v>
      </c>
      <c r="C233" s="148" t="e">
        <f ca="1">OFFSET('自動車台帳'!E234,'自動車台帳'!$AP234,0)</f>
        <v>#N/A</v>
      </c>
      <c r="D233" s="148" t="e">
        <f ca="1">OFFSET('自動車台帳'!F234,'自動車台帳'!$AP234,0)</f>
        <v>#N/A</v>
      </c>
      <c r="E233" s="149" t="e">
        <f ca="1">OFFSET('自動車台帳'!G234,'自動車台帳'!$AP234,0)</f>
        <v>#N/A</v>
      </c>
      <c r="F233" s="150" t="e">
        <f ca="1">OFFSET('自動車台帳'!H234,'自動車台帳'!$AP234,0)</f>
        <v>#N/A</v>
      </c>
      <c r="G233" s="148" t="e">
        <f ca="1">OFFSET('自動車台帳'!I234,'自動車台帳'!$AP234,0)</f>
        <v>#N/A</v>
      </c>
      <c r="H233" s="148" t="e">
        <f ca="1">OFFSET('自動車台帳'!J234,'自動車台帳'!$AP234,0)</f>
        <v>#N/A</v>
      </c>
      <c r="I233" s="149" t="e">
        <f ca="1">OFFSET('自動車台帳'!K234,'自動車台帳'!$AP234,0)</f>
        <v>#N/A</v>
      </c>
      <c r="J233" s="151" t="e">
        <f ca="1">OFFSET('自動車台帳'!L234,'自動車台帳'!$AP234,0)</f>
        <v>#N/A</v>
      </c>
      <c r="K233" s="152" t="e">
        <f ca="1">OFFSET('自動車台帳'!M234,'自動車台帳'!$AP234,0)</f>
        <v>#N/A</v>
      </c>
      <c r="L233" s="152" t="e">
        <f ca="1">OFFSET('自動車台帳'!N234,'自動車台帳'!$AP234,0)</f>
        <v>#N/A</v>
      </c>
      <c r="M233" s="148" t="e">
        <f ca="1">OFFSET('自動車台帳'!AB234,'自動車台帳'!$AP234,0)</f>
        <v>#N/A</v>
      </c>
      <c r="N233" s="148" t="e">
        <f ca="1">OFFSET('自動車台帳'!AC234,'自動車台帳'!$AP234,0)</f>
        <v>#N/A</v>
      </c>
      <c r="O233" s="153" t="e">
        <f ca="1">OFFSET('自動車台帳'!AD234,'自動車台帳'!$AP234,0)</f>
        <v>#N/A</v>
      </c>
      <c r="P233" s="154" t="e">
        <f ca="1">OFFSET('自動車台帳'!AE234,'自動車台帳'!$AP234,0)</f>
        <v>#N/A</v>
      </c>
      <c r="Q233" s="154" t="e">
        <f ca="1">OFFSET('自動車台帳'!AF234,'自動車台帳'!$AP234,0)</f>
        <v>#N/A</v>
      </c>
    </row>
    <row r="234" spans="1:17" ht="13.5">
      <c r="A234" s="148" t="e">
        <f ca="1">OFFSET('自動車台帳'!C235,'自動車台帳'!$AP235,0)</f>
        <v>#N/A</v>
      </c>
      <c r="B234" s="148" t="e">
        <f ca="1">OFFSET('自動車台帳'!D235,'自動車台帳'!$AP235,0)</f>
        <v>#N/A</v>
      </c>
      <c r="C234" s="148" t="e">
        <f ca="1">OFFSET('自動車台帳'!E235,'自動車台帳'!$AP235,0)</f>
        <v>#N/A</v>
      </c>
      <c r="D234" s="148" t="e">
        <f ca="1">OFFSET('自動車台帳'!F235,'自動車台帳'!$AP235,0)</f>
        <v>#N/A</v>
      </c>
      <c r="E234" s="149" t="e">
        <f ca="1">OFFSET('自動車台帳'!G235,'自動車台帳'!$AP235,0)</f>
        <v>#N/A</v>
      </c>
      <c r="F234" s="150" t="e">
        <f ca="1">OFFSET('自動車台帳'!H235,'自動車台帳'!$AP235,0)</f>
        <v>#N/A</v>
      </c>
      <c r="G234" s="148" t="e">
        <f ca="1">OFFSET('自動車台帳'!I235,'自動車台帳'!$AP235,0)</f>
        <v>#N/A</v>
      </c>
      <c r="H234" s="148" t="e">
        <f ca="1">OFFSET('自動車台帳'!J235,'自動車台帳'!$AP235,0)</f>
        <v>#N/A</v>
      </c>
      <c r="I234" s="149" t="e">
        <f ca="1">OFFSET('自動車台帳'!K235,'自動車台帳'!$AP235,0)</f>
        <v>#N/A</v>
      </c>
      <c r="J234" s="151" t="e">
        <f ca="1">OFFSET('自動車台帳'!L235,'自動車台帳'!$AP235,0)</f>
        <v>#N/A</v>
      </c>
      <c r="K234" s="152" t="e">
        <f ca="1">OFFSET('自動車台帳'!M235,'自動車台帳'!$AP235,0)</f>
        <v>#N/A</v>
      </c>
      <c r="L234" s="152" t="e">
        <f ca="1">OFFSET('自動車台帳'!N235,'自動車台帳'!$AP235,0)</f>
        <v>#N/A</v>
      </c>
      <c r="M234" s="148" t="e">
        <f ca="1">OFFSET('自動車台帳'!AB235,'自動車台帳'!$AP235,0)</f>
        <v>#N/A</v>
      </c>
      <c r="N234" s="148" t="e">
        <f ca="1">OFFSET('自動車台帳'!AC235,'自動車台帳'!$AP235,0)</f>
        <v>#N/A</v>
      </c>
      <c r="O234" s="153" t="e">
        <f ca="1">OFFSET('自動車台帳'!AD235,'自動車台帳'!$AP235,0)</f>
        <v>#N/A</v>
      </c>
      <c r="P234" s="154" t="e">
        <f ca="1">OFFSET('自動車台帳'!AE235,'自動車台帳'!$AP235,0)</f>
        <v>#N/A</v>
      </c>
      <c r="Q234" s="154" t="e">
        <f ca="1">OFFSET('自動車台帳'!AF235,'自動車台帳'!$AP235,0)</f>
        <v>#N/A</v>
      </c>
    </row>
    <row r="235" spans="1:17" ht="13.5">
      <c r="A235" s="148" t="e">
        <f ca="1">OFFSET('自動車台帳'!C236,'自動車台帳'!$AP236,0)</f>
        <v>#N/A</v>
      </c>
      <c r="B235" s="148" t="e">
        <f ca="1">OFFSET('自動車台帳'!D236,'自動車台帳'!$AP236,0)</f>
        <v>#N/A</v>
      </c>
      <c r="C235" s="148" t="e">
        <f ca="1">OFFSET('自動車台帳'!E236,'自動車台帳'!$AP236,0)</f>
        <v>#N/A</v>
      </c>
      <c r="D235" s="148" t="e">
        <f ca="1">OFFSET('自動車台帳'!F236,'自動車台帳'!$AP236,0)</f>
        <v>#N/A</v>
      </c>
      <c r="E235" s="149" t="e">
        <f ca="1">OFFSET('自動車台帳'!G236,'自動車台帳'!$AP236,0)</f>
        <v>#N/A</v>
      </c>
      <c r="F235" s="150" t="e">
        <f ca="1">OFFSET('自動車台帳'!H236,'自動車台帳'!$AP236,0)</f>
        <v>#N/A</v>
      </c>
      <c r="G235" s="148" t="e">
        <f ca="1">OFFSET('自動車台帳'!I236,'自動車台帳'!$AP236,0)</f>
        <v>#N/A</v>
      </c>
      <c r="H235" s="148" t="e">
        <f ca="1">OFFSET('自動車台帳'!J236,'自動車台帳'!$AP236,0)</f>
        <v>#N/A</v>
      </c>
      <c r="I235" s="149" t="e">
        <f ca="1">OFFSET('自動車台帳'!K236,'自動車台帳'!$AP236,0)</f>
        <v>#N/A</v>
      </c>
      <c r="J235" s="151" t="e">
        <f ca="1">OFFSET('自動車台帳'!L236,'自動車台帳'!$AP236,0)</f>
        <v>#N/A</v>
      </c>
      <c r="K235" s="152" t="e">
        <f ca="1">OFFSET('自動車台帳'!M236,'自動車台帳'!$AP236,0)</f>
        <v>#N/A</v>
      </c>
      <c r="L235" s="152" t="e">
        <f ca="1">OFFSET('自動車台帳'!N236,'自動車台帳'!$AP236,0)</f>
        <v>#N/A</v>
      </c>
      <c r="M235" s="148" t="e">
        <f ca="1">OFFSET('自動車台帳'!AB236,'自動車台帳'!$AP236,0)</f>
        <v>#N/A</v>
      </c>
      <c r="N235" s="148" t="e">
        <f ca="1">OFFSET('自動車台帳'!AC236,'自動車台帳'!$AP236,0)</f>
        <v>#N/A</v>
      </c>
      <c r="O235" s="153" t="e">
        <f ca="1">OFFSET('自動車台帳'!AD236,'自動車台帳'!$AP236,0)</f>
        <v>#N/A</v>
      </c>
      <c r="P235" s="154" t="e">
        <f ca="1">OFFSET('自動車台帳'!AE236,'自動車台帳'!$AP236,0)</f>
        <v>#N/A</v>
      </c>
      <c r="Q235" s="154" t="e">
        <f ca="1">OFFSET('自動車台帳'!AF236,'自動車台帳'!$AP236,0)</f>
        <v>#N/A</v>
      </c>
    </row>
    <row r="236" spans="1:17" ht="13.5">
      <c r="A236" s="148" t="e">
        <f ca="1">OFFSET('自動車台帳'!C237,'自動車台帳'!$AP237,0)</f>
        <v>#N/A</v>
      </c>
      <c r="B236" s="148" t="e">
        <f ca="1">OFFSET('自動車台帳'!D237,'自動車台帳'!$AP237,0)</f>
        <v>#N/A</v>
      </c>
      <c r="C236" s="148" t="e">
        <f ca="1">OFFSET('自動車台帳'!E237,'自動車台帳'!$AP237,0)</f>
        <v>#N/A</v>
      </c>
      <c r="D236" s="148" t="e">
        <f ca="1">OFFSET('自動車台帳'!F237,'自動車台帳'!$AP237,0)</f>
        <v>#N/A</v>
      </c>
      <c r="E236" s="149" t="e">
        <f ca="1">OFFSET('自動車台帳'!G237,'自動車台帳'!$AP237,0)</f>
        <v>#N/A</v>
      </c>
      <c r="F236" s="150" t="e">
        <f ca="1">OFFSET('自動車台帳'!H237,'自動車台帳'!$AP237,0)</f>
        <v>#N/A</v>
      </c>
      <c r="G236" s="148" t="e">
        <f ca="1">OFFSET('自動車台帳'!I237,'自動車台帳'!$AP237,0)</f>
        <v>#N/A</v>
      </c>
      <c r="H236" s="148" t="e">
        <f ca="1">OFFSET('自動車台帳'!J237,'自動車台帳'!$AP237,0)</f>
        <v>#N/A</v>
      </c>
      <c r="I236" s="149" t="e">
        <f ca="1">OFFSET('自動車台帳'!K237,'自動車台帳'!$AP237,0)</f>
        <v>#N/A</v>
      </c>
      <c r="J236" s="151" t="e">
        <f ca="1">OFFSET('自動車台帳'!L237,'自動車台帳'!$AP237,0)</f>
        <v>#N/A</v>
      </c>
      <c r="K236" s="152" t="e">
        <f ca="1">OFFSET('自動車台帳'!M237,'自動車台帳'!$AP237,0)</f>
        <v>#N/A</v>
      </c>
      <c r="L236" s="152" t="e">
        <f ca="1">OFFSET('自動車台帳'!N237,'自動車台帳'!$AP237,0)</f>
        <v>#N/A</v>
      </c>
      <c r="M236" s="148" t="e">
        <f ca="1">OFFSET('自動車台帳'!AB237,'自動車台帳'!$AP237,0)</f>
        <v>#N/A</v>
      </c>
      <c r="N236" s="148" t="e">
        <f ca="1">OFFSET('自動車台帳'!AC237,'自動車台帳'!$AP237,0)</f>
        <v>#N/A</v>
      </c>
      <c r="O236" s="153" t="e">
        <f ca="1">OFFSET('自動車台帳'!AD237,'自動車台帳'!$AP237,0)</f>
        <v>#N/A</v>
      </c>
      <c r="P236" s="154" t="e">
        <f ca="1">OFFSET('自動車台帳'!AE237,'自動車台帳'!$AP237,0)</f>
        <v>#N/A</v>
      </c>
      <c r="Q236" s="154" t="e">
        <f ca="1">OFFSET('自動車台帳'!AF237,'自動車台帳'!$AP237,0)</f>
        <v>#N/A</v>
      </c>
    </row>
    <row r="237" spans="1:17" ht="13.5">
      <c r="A237" s="148" t="e">
        <f ca="1">OFFSET('自動車台帳'!C238,'自動車台帳'!$AP238,0)</f>
        <v>#N/A</v>
      </c>
      <c r="B237" s="148" t="e">
        <f ca="1">OFFSET('自動車台帳'!D238,'自動車台帳'!$AP238,0)</f>
        <v>#N/A</v>
      </c>
      <c r="C237" s="148" t="e">
        <f ca="1">OFFSET('自動車台帳'!E238,'自動車台帳'!$AP238,0)</f>
        <v>#N/A</v>
      </c>
      <c r="D237" s="148" t="e">
        <f ca="1">OFFSET('自動車台帳'!F238,'自動車台帳'!$AP238,0)</f>
        <v>#N/A</v>
      </c>
      <c r="E237" s="149" t="e">
        <f ca="1">OFFSET('自動車台帳'!G238,'自動車台帳'!$AP238,0)</f>
        <v>#N/A</v>
      </c>
      <c r="F237" s="150" t="e">
        <f ca="1">OFFSET('自動車台帳'!H238,'自動車台帳'!$AP238,0)</f>
        <v>#N/A</v>
      </c>
      <c r="G237" s="148" t="e">
        <f ca="1">OFFSET('自動車台帳'!I238,'自動車台帳'!$AP238,0)</f>
        <v>#N/A</v>
      </c>
      <c r="H237" s="148" t="e">
        <f ca="1">OFFSET('自動車台帳'!J238,'自動車台帳'!$AP238,0)</f>
        <v>#N/A</v>
      </c>
      <c r="I237" s="149" t="e">
        <f ca="1">OFFSET('自動車台帳'!K238,'自動車台帳'!$AP238,0)</f>
        <v>#N/A</v>
      </c>
      <c r="J237" s="151" t="e">
        <f ca="1">OFFSET('自動車台帳'!L238,'自動車台帳'!$AP238,0)</f>
        <v>#N/A</v>
      </c>
      <c r="K237" s="152" t="e">
        <f ca="1">OFFSET('自動車台帳'!M238,'自動車台帳'!$AP238,0)</f>
        <v>#N/A</v>
      </c>
      <c r="L237" s="152" t="e">
        <f ca="1">OFFSET('自動車台帳'!N238,'自動車台帳'!$AP238,0)</f>
        <v>#N/A</v>
      </c>
      <c r="M237" s="148" t="e">
        <f ca="1">OFFSET('自動車台帳'!AB238,'自動車台帳'!$AP238,0)</f>
        <v>#N/A</v>
      </c>
      <c r="N237" s="148" t="e">
        <f ca="1">OFFSET('自動車台帳'!AC238,'自動車台帳'!$AP238,0)</f>
        <v>#N/A</v>
      </c>
      <c r="O237" s="153" t="e">
        <f ca="1">OFFSET('自動車台帳'!AD238,'自動車台帳'!$AP238,0)</f>
        <v>#N/A</v>
      </c>
      <c r="P237" s="154" t="e">
        <f ca="1">OFFSET('自動車台帳'!AE238,'自動車台帳'!$AP238,0)</f>
        <v>#N/A</v>
      </c>
      <c r="Q237" s="154" t="e">
        <f ca="1">OFFSET('自動車台帳'!AF238,'自動車台帳'!$AP238,0)</f>
        <v>#N/A</v>
      </c>
    </row>
    <row r="238" spans="1:17" ht="13.5">
      <c r="A238" s="148" t="e">
        <f ca="1">OFFSET('自動車台帳'!C239,'自動車台帳'!$AP239,0)</f>
        <v>#N/A</v>
      </c>
      <c r="B238" s="148" t="e">
        <f ca="1">OFFSET('自動車台帳'!D239,'自動車台帳'!$AP239,0)</f>
        <v>#N/A</v>
      </c>
      <c r="C238" s="148" t="e">
        <f ca="1">OFFSET('自動車台帳'!E239,'自動車台帳'!$AP239,0)</f>
        <v>#N/A</v>
      </c>
      <c r="D238" s="148" t="e">
        <f ca="1">OFFSET('自動車台帳'!F239,'自動車台帳'!$AP239,0)</f>
        <v>#N/A</v>
      </c>
      <c r="E238" s="149" t="e">
        <f ca="1">OFFSET('自動車台帳'!G239,'自動車台帳'!$AP239,0)</f>
        <v>#N/A</v>
      </c>
      <c r="F238" s="150" t="e">
        <f ca="1">OFFSET('自動車台帳'!H239,'自動車台帳'!$AP239,0)</f>
        <v>#N/A</v>
      </c>
      <c r="G238" s="148" t="e">
        <f ca="1">OFFSET('自動車台帳'!I239,'自動車台帳'!$AP239,0)</f>
        <v>#N/A</v>
      </c>
      <c r="H238" s="148" t="e">
        <f ca="1">OFFSET('自動車台帳'!J239,'自動車台帳'!$AP239,0)</f>
        <v>#N/A</v>
      </c>
      <c r="I238" s="149" t="e">
        <f ca="1">OFFSET('自動車台帳'!K239,'自動車台帳'!$AP239,0)</f>
        <v>#N/A</v>
      </c>
      <c r="J238" s="151" t="e">
        <f ca="1">OFFSET('自動車台帳'!L239,'自動車台帳'!$AP239,0)</f>
        <v>#N/A</v>
      </c>
      <c r="K238" s="152" t="e">
        <f ca="1">OFFSET('自動車台帳'!M239,'自動車台帳'!$AP239,0)</f>
        <v>#N/A</v>
      </c>
      <c r="L238" s="152" t="e">
        <f ca="1">OFFSET('自動車台帳'!N239,'自動車台帳'!$AP239,0)</f>
        <v>#N/A</v>
      </c>
      <c r="M238" s="148" t="e">
        <f ca="1">OFFSET('自動車台帳'!AB239,'自動車台帳'!$AP239,0)</f>
        <v>#N/A</v>
      </c>
      <c r="N238" s="148" t="e">
        <f ca="1">OFFSET('自動車台帳'!AC239,'自動車台帳'!$AP239,0)</f>
        <v>#N/A</v>
      </c>
      <c r="O238" s="153" t="e">
        <f ca="1">OFFSET('自動車台帳'!AD239,'自動車台帳'!$AP239,0)</f>
        <v>#N/A</v>
      </c>
      <c r="P238" s="154" t="e">
        <f ca="1">OFFSET('自動車台帳'!AE239,'自動車台帳'!$AP239,0)</f>
        <v>#N/A</v>
      </c>
      <c r="Q238" s="154" t="e">
        <f ca="1">OFFSET('自動車台帳'!AF239,'自動車台帳'!$AP239,0)</f>
        <v>#N/A</v>
      </c>
    </row>
    <row r="239" spans="1:17" ht="13.5">
      <c r="A239" s="148" t="e">
        <f ca="1">OFFSET('自動車台帳'!C240,'自動車台帳'!$AP240,0)</f>
        <v>#N/A</v>
      </c>
      <c r="B239" s="148" t="e">
        <f ca="1">OFFSET('自動車台帳'!D240,'自動車台帳'!$AP240,0)</f>
        <v>#N/A</v>
      </c>
      <c r="C239" s="148" t="e">
        <f ca="1">OFFSET('自動車台帳'!E240,'自動車台帳'!$AP240,0)</f>
        <v>#N/A</v>
      </c>
      <c r="D239" s="148" t="e">
        <f ca="1">OFFSET('自動車台帳'!F240,'自動車台帳'!$AP240,0)</f>
        <v>#N/A</v>
      </c>
      <c r="E239" s="149" t="e">
        <f ca="1">OFFSET('自動車台帳'!G240,'自動車台帳'!$AP240,0)</f>
        <v>#N/A</v>
      </c>
      <c r="F239" s="150" t="e">
        <f ca="1">OFFSET('自動車台帳'!H240,'自動車台帳'!$AP240,0)</f>
        <v>#N/A</v>
      </c>
      <c r="G239" s="148" t="e">
        <f ca="1">OFFSET('自動車台帳'!I240,'自動車台帳'!$AP240,0)</f>
        <v>#N/A</v>
      </c>
      <c r="H239" s="148" t="e">
        <f ca="1">OFFSET('自動車台帳'!J240,'自動車台帳'!$AP240,0)</f>
        <v>#N/A</v>
      </c>
      <c r="I239" s="149" t="e">
        <f ca="1">OFFSET('自動車台帳'!K240,'自動車台帳'!$AP240,0)</f>
        <v>#N/A</v>
      </c>
      <c r="J239" s="151" t="e">
        <f ca="1">OFFSET('自動車台帳'!L240,'自動車台帳'!$AP240,0)</f>
        <v>#N/A</v>
      </c>
      <c r="K239" s="152" t="e">
        <f ca="1">OFFSET('自動車台帳'!M240,'自動車台帳'!$AP240,0)</f>
        <v>#N/A</v>
      </c>
      <c r="L239" s="152" t="e">
        <f ca="1">OFFSET('自動車台帳'!N240,'自動車台帳'!$AP240,0)</f>
        <v>#N/A</v>
      </c>
      <c r="M239" s="148" t="e">
        <f ca="1">OFFSET('自動車台帳'!AB240,'自動車台帳'!$AP240,0)</f>
        <v>#N/A</v>
      </c>
      <c r="N239" s="148" t="e">
        <f ca="1">OFFSET('自動車台帳'!AC240,'自動車台帳'!$AP240,0)</f>
        <v>#N/A</v>
      </c>
      <c r="O239" s="153" t="e">
        <f ca="1">OFFSET('自動車台帳'!AD240,'自動車台帳'!$AP240,0)</f>
        <v>#N/A</v>
      </c>
      <c r="P239" s="154" t="e">
        <f ca="1">OFFSET('自動車台帳'!AE240,'自動車台帳'!$AP240,0)</f>
        <v>#N/A</v>
      </c>
      <c r="Q239" s="154" t="e">
        <f ca="1">OFFSET('自動車台帳'!AF240,'自動車台帳'!$AP240,0)</f>
        <v>#N/A</v>
      </c>
    </row>
    <row r="240" spans="1:17" ht="13.5">
      <c r="A240" s="148" t="e">
        <f ca="1">OFFSET('自動車台帳'!C241,'自動車台帳'!$AP241,0)</f>
        <v>#N/A</v>
      </c>
      <c r="B240" s="148" t="e">
        <f ca="1">OFFSET('自動車台帳'!D241,'自動車台帳'!$AP241,0)</f>
        <v>#N/A</v>
      </c>
      <c r="C240" s="148" t="e">
        <f ca="1">OFFSET('自動車台帳'!E241,'自動車台帳'!$AP241,0)</f>
        <v>#N/A</v>
      </c>
      <c r="D240" s="148" t="e">
        <f ca="1">OFFSET('自動車台帳'!F241,'自動車台帳'!$AP241,0)</f>
        <v>#N/A</v>
      </c>
      <c r="E240" s="149" t="e">
        <f ca="1">OFFSET('自動車台帳'!G241,'自動車台帳'!$AP241,0)</f>
        <v>#N/A</v>
      </c>
      <c r="F240" s="150" t="e">
        <f ca="1">OFFSET('自動車台帳'!H241,'自動車台帳'!$AP241,0)</f>
        <v>#N/A</v>
      </c>
      <c r="G240" s="148" t="e">
        <f ca="1">OFFSET('自動車台帳'!I241,'自動車台帳'!$AP241,0)</f>
        <v>#N/A</v>
      </c>
      <c r="H240" s="148" t="e">
        <f ca="1">OFFSET('自動車台帳'!J241,'自動車台帳'!$AP241,0)</f>
        <v>#N/A</v>
      </c>
      <c r="I240" s="149" t="e">
        <f ca="1">OFFSET('自動車台帳'!K241,'自動車台帳'!$AP241,0)</f>
        <v>#N/A</v>
      </c>
      <c r="J240" s="151" t="e">
        <f ca="1">OFFSET('自動車台帳'!L241,'自動車台帳'!$AP241,0)</f>
        <v>#N/A</v>
      </c>
      <c r="K240" s="152" t="e">
        <f ca="1">OFFSET('自動車台帳'!M241,'自動車台帳'!$AP241,0)</f>
        <v>#N/A</v>
      </c>
      <c r="L240" s="152" t="e">
        <f ca="1">OFFSET('自動車台帳'!N241,'自動車台帳'!$AP241,0)</f>
        <v>#N/A</v>
      </c>
      <c r="M240" s="148" t="e">
        <f ca="1">OFFSET('自動車台帳'!AB241,'自動車台帳'!$AP241,0)</f>
        <v>#N/A</v>
      </c>
      <c r="N240" s="148" t="e">
        <f ca="1">OFFSET('自動車台帳'!AC241,'自動車台帳'!$AP241,0)</f>
        <v>#N/A</v>
      </c>
      <c r="O240" s="153" t="e">
        <f ca="1">OFFSET('自動車台帳'!AD241,'自動車台帳'!$AP241,0)</f>
        <v>#N/A</v>
      </c>
      <c r="P240" s="154" t="e">
        <f ca="1">OFFSET('自動車台帳'!AE241,'自動車台帳'!$AP241,0)</f>
        <v>#N/A</v>
      </c>
      <c r="Q240" s="154" t="e">
        <f ca="1">OFFSET('自動車台帳'!AF241,'自動車台帳'!$AP241,0)</f>
        <v>#N/A</v>
      </c>
    </row>
    <row r="241" spans="1:17" ht="13.5">
      <c r="A241" s="148" t="e">
        <f ca="1">OFFSET('自動車台帳'!C242,'自動車台帳'!$AP242,0)</f>
        <v>#N/A</v>
      </c>
      <c r="B241" s="148" t="e">
        <f ca="1">OFFSET('自動車台帳'!D242,'自動車台帳'!$AP242,0)</f>
        <v>#N/A</v>
      </c>
      <c r="C241" s="148" t="e">
        <f ca="1">OFFSET('自動車台帳'!E242,'自動車台帳'!$AP242,0)</f>
        <v>#N/A</v>
      </c>
      <c r="D241" s="148" t="e">
        <f ca="1">OFFSET('自動車台帳'!F242,'自動車台帳'!$AP242,0)</f>
        <v>#N/A</v>
      </c>
      <c r="E241" s="149" t="e">
        <f ca="1">OFFSET('自動車台帳'!G242,'自動車台帳'!$AP242,0)</f>
        <v>#N/A</v>
      </c>
      <c r="F241" s="150" t="e">
        <f ca="1">OFFSET('自動車台帳'!H242,'自動車台帳'!$AP242,0)</f>
        <v>#N/A</v>
      </c>
      <c r="G241" s="148" t="e">
        <f ca="1">OFFSET('自動車台帳'!I242,'自動車台帳'!$AP242,0)</f>
        <v>#N/A</v>
      </c>
      <c r="H241" s="148" t="e">
        <f ca="1">OFFSET('自動車台帳'!J242,'自動車台帳'!$AP242,0)</f>
        <v>#N/A</v>
      </c>
      <c r="I241" s="149" t="e">
        <f ca="1">OFFSET('自動車台帳'!K242,'自動車台帳'!$AP242,0)</f>
        <v>#N/A</v>
      </c>
      <c r="J241" s="151" t="e">
        <f ca="1">OFFSET('自動車台帳'!L242,'自動車台帳'!$AP242,0)</f>
        <v>#N/A</v>
      </c>
      <c r="K241" s="152" t="e">
        <f ca="1">OFFSET('自動車台帳'!M242,'自動車台帳'!$AP242,0)</f>
        <v>#N/A</v>
      </c>
      <c r="L241" s="152" t="e">
        <f ca="1">OFFSET('自動車台帳'!N242,'自動車台帳'!$AP242,0)</f>
        <v>#N/A</v>
      </c>
      <c r="M241" s="148" t="e">
        <f ca="1">OFFSET('自動車台帳'!AB242,'自動車台帳'!$AP242,0)</f>
        <v>#N/A</v>
      </c>
      <c r="N241" s="148" t="e">
        <f ca="1">OFFSET('自動車台帳'!AC242,'自動車台帳'!$AP242,0)</f>
        <v>#N/A</v>
      </c>
      <c r="O241" s="153" t="e">
        <f ca="1">OFFSET('自動車台帳'!AD242,'自動車台帳'!$AP242,0)</f>
        <v>#N/A</v>
      </c>
      <c r="P241" s="154" t="e">
        <f ca="1">OFFSET('自動車台帳'!AE242,'自動車台帳'!$AP242,0)</f>
        <v>#N/A</v>
      </c>
      <c r="Q241" s="154" t="e">
        <f ca="1">OFFSET('自動車台帳'!AF242,'自動車台帳'!$AP242,0)</f>
        <v>#N/A</v>
      </c>
    </row>
    <row r="242" spans="1:17" ht="13.5">
      <c r="A242" s="148" t="e">
        <f ca="1">OFFSET('自動車台帳'!C243,'自動車台帳'!$AP243,0)</f>
        <v>#N/A</v>
      </c>
      <c r="B242" s="148" t="e">
        <f ca="1">OFFSET('自動車台帳'!D243,'自動車台帳'!$AP243,0)</f>
        <v>#N/A</v>
      </c>
      <c r="C242" s="148" t="e">
        <f ca="1">OFFSET('自動車台帳'!E243,'自動車台帳'!$AP243,0)</f>
        <v>#N/A</v>
      </c>
      <c r="D242" s="148" t="e">
        <f ca="1">OFFSET('自動車台帳'!F243,'自動車台帳'!$AP243,0)</f>
        <v>#N/A</v>
      </c>
      <c r="E242" s="149" t="e">
        <f ca="1">OFFSET('自動車台帳'!G243,'自動車台帳'!$AP243,0)</f>
        <v>#N/A</v>
      </c>
      <c r="F242" s="150" t="e">
        <f ca="1">OFFSET('自動車台帳'!H243,'自動車台帳'!$AP243,0)</f>
        <v>#N/A</v>
      </c>
      <c r="G242" s="148" t="e">
        <f ca="1">OFFSET('自動車台帳'!I243,'自動車台帳'!$AP243,0)</f>
        <v>#N/A</v>
      </c>
      <c r="H242" s="148" t="e">
        <f ca="1">OFFSET('自動車台帳'!J243,'自動車台帳'!$AP243,0)</f>
        <v>#N/A</v>
      </c>
      <c r="I242" s="149" t="e">
        <f ca="1">OFFSET('自動車台帳'!K243,'自動車台帳'!$AP243,0)</f>
        <v>#N/A</v>
      </c>
      <c r="J242" s="151" t="e">
        <f ca="1">OFFSET('自動車台帳'!L243,'自動車台帳'!$AP243,0)</f>
        <v>#N/A</v>
      </c>
      <c r="K242" s="152" t="e">
        <f ca="1">OFFSET('自動車台帳'!M243,'自動車台帳'!$AP243,0)</f>
        <v>#N/A</v>
      </c>
      <c r="L242" s="152" t="e">
        <f ca="1">OFFSET('自動車台帳'!N243,'自動車台帳'!$AP243,0)</f>
        <v>#N/A</v>
      </c>
      <c r="M242" s="148" t="e">
        <f ca="1">OFFSET('自動車台帳'!AB243,'自動車台帳'!$AP243,0)</f>
        <v>#N/A</v>
      </c>
      <c r="N242" s="148" t="e">
        <f ca="1">OFFSET('自動車台帳'!AC243,'自動車台帳'!$AP243,0)</f>
        <v>#N/A</v>
      </c>
      <c r="O242" s="153" t="e">
        <f ca="1">OFFSET('自動車台帳'!AD243,'自動車台帳'!$AP243,0)</f>
        <v>#N/A</v>
      </c>
      <c r="P242" s="154" t="e">
        <f ca="1">OFFSET('自動車台帳'!AE243,'自動車台帳'!$AP243,0)</f>
        <v>#N/A</v>
      </c>
      <c r="Q242" s="154" t="e">
        <f ca="1">OFFSET('自動車台帳'!AF243,'自動車台帳'!$AP243,0)</f>
        <v>#N/A</v>
      </c>
    </row>
    <row r="243" spans="1:17" ht="13.5">
      <c r="A243" s="148" t="e">
        <f ca="1">OFFSET('自動車台帳'!C244,'自動車台帳'!$AP244,0)</f>
        <v>#N/A</v>
      </c>
      <c r="B243" s="148" t="e">
        <f ca="1">OFFSET('自動車台帳'!D244,'自動車台帳'!$AP244,0)</f>
        <v>#N/A</v>
      </c>
      <c r="C243" s="148" t="e">
        <f ca="1">OFFSET('自動車台帳'!E244,'自動車台帳'!$AP244,0)</f>
        <v>#N/A</v>
      </c>
      <c r="D243" s="148" t="e">
        <f ca="1">OFFSET('自動車台帳'!F244,'自動車台帳'!$AP244,0)</f>
        <v>#N/A</v>
      </c>
      <c r="E243" s="149" t="e">
        <f ca="1">OFFSET('自動車台帳'!G244,'自動車台帳'!$AP244,0)</f>
        <v>#N/A</v>
      </c>
      <c r="F243" s="150" t="e">
        <f ca="1">OFFSET('自動車台帳'!H244,'自動車台帳'!$AP244,0)</f>
        <v>#N/A</v>
      </c>
      <c r="G243" s="148" t="e">
        <f ca="1">OFFSET('自動車台帳'!I244,'自動車台帳'!$AP244,0)</f>
        <v>#N/A</v>
      </c>
      <c r="H243" s="148" t="e">
        <f ca="1">OFFSET('自動車台帳'!J244,'自動車台帳'!$AP244,0)</f>
        <v>#N/A</v>
      </c>
      <c r="I243" s="149" t="e">
        <f ca="1">OFFSET('自動車台帳'!K244,'自動車台帳'!$AP244,0)</f>
        <v>#N/A</v>
      </c>
      <c r="J243" s="151" t="e">
        <f ca="1">OFFSET('自動車台帳'!L244,'自動車台帳'!$AP244,0)</f>
        <v>#N/A</v>
      </c>
      <c r="K243" s="152" t="e">
        <f ca="1">OFFSET('自動車台帳'!M244,'自動車台帳'!$AP244,0)</f>
        <v>#N/A</v>
      </c>
      <c r="L243" s="152" t="e">
        <f ca="1">OFFSET('自動車台帳'!N244,'自動車台帳'!$AP244,0)</f>
        <v>#N/A</v>
      </c>
      <c r="M243" s="148" t="e">
        <f ca="1">OFFSET('自動車台帳'!AB244,'自動車台帳'!$AP244,0)</f>
        <v>#N/A</v>
      </c>
      <c r="N243" s="148" t="e">
        <f ca="1">OFFSET('自動車台帳'!AC244,'自動車台帳'!$AP244,0)</f>
        <v>#N/A</v>
      </c>
      <c r="O243" s="153" t="e">
        <f ca="1">OFFSET('自動車台帳'!AD244,'自動車台帳'!$AP244,0)</f>
        <v>#N/A</v>
      </c>
      <c r="P243" s="154" t="e">
        <f ca="1">OFFSET('自動車台帳'!AE244,'自動車台帳'!$AP244,0)</f>
        <v>#N/A</v>
      </c>
      <c r="Q243" s="154" t="e">
        <f ca="1">OFFSET('自動車台帳'!AF244,'自動車台帳'!$AP244,0)</f>
        <v>#N/A</v>
      </c>
    </row>
    <row r="244" spans="1:17" ht="13.5">
      <c r="A244" s="148" t="e">
        <f ca="1">OFFSET('自動車台帳'!C245,'自動車台帳'!$AP245,0)</f>
        <v>#N/A</v>
      </c>
      <c r="B244" s="148" t="e">
        <f ca="1">OFFSET('自動車台帳'!D245,'自動車台帳'!$AP245,0)</f>
        <v>#N/A</v>
      </c>
      <c r="C244" s="148" t="e">
        <f ca="1">OFFSET('自動車台帳'!E245,'自動車台帳'!$AP245,0)</f>
        <v>#N/A</v>
      </c>
      <c r="D244" s="148" t="e">
        <f ca="1">OFFSET('自動車台帳'!F245,'自動車台帳'!$AP245,0)</f>
        <v>#N/A</v>
      </c>
      <c r="E244" s="149" t="e">
        <f ca="1">OFFSET('自動車台帳'!G245,'自動車台帳'!$AP245,0)</f>
        <v>#N/A</v>
      </c>
      <c r="F244" s="150" t="e">
        <f ca="1">OFFSET('自動車台帳'!H245,'自動車台帳'!$AP245,0)</f>
        <v>#N/A</v>
      </c>
      <c r="G244" s="148" t="e">
        <f ca="1">OFFSET('自動車台帳'!I245,'自動車台帳'!$AP245,0)</f>
        <v>#N/A</v>
      </c>
      <c r="H244" s="148" t="e">
        <f ca="1">OFFSET('自動車台帳'!J245,'自動車台帳'!$AP245,0)</f>
        <v>#N/A</v>
      </c>
      <c r="I244" s="149" t="e">
        <f ca="1">OFFSET('自動車台帳'!K245,'自動車台帳'!$AP245,0)</f>
        <v>#N/A</v>
      </c>
      <c r="J244" s="151" t="e">
        <f ca="1">OFFSET('自動車台帳'!L245,'自動車台帳'!$AP245,0)</f>
        <v>#N/A</v>
      </c>
      <c r="K244" s="152" t="e">
        <f ca="1">OFFSET('自動車台帳'!M245,'自動車台帳'!$AP245,0)</f>
        <v>#N/A</v>
      </c>
      <c r="L244" s="152" t="e">
        <f ca="1">OFFSET('自動車台帳'!N245,'自動車台帳'!$AP245,0)</f>
        <v>#N/A</v>
      </c>
      <c r="M244" s="148" t="e">
        <f ca="1">OFFSET('自動車台帳'!AB245,'自動車台帳'!$AP245,0)</f>
        <v>#N/A</v>
      </c>
      <c r="N244" s="148" t="e">
        <f ca="1">OFFSET('自動車台帳'!AC245,'自動車台帳'!$AP245,0)</f>
        <v>#N/A</v>
      </c>
      <c r="O244" s="153" t="e">
        <f ca="1">OFFSET('自動車台帳'!AD245,'自動車台帳'!$AP245,0)</f>
        <v>#N/A</v>
      </c>
      <c r="P244" s="154" t="e">
        <f ca="1">OFFSET('自動車台帳'!AE245,'自動車台帳'!$AP245,0)</f>
        <v>#N/A</v>
      </c>
      <c r="Q244" s="154" t="e">
        <f ca="1">OFFSET('自動車台帳'!AF245,'自動車台帳'!$AP245,0)</f>
        <v>#N/A</v>
      </c>
    </row>
    <row r="245" spans="1:17" ht="13.5">
      <c r="A245" s="148" t="e">
        <f ca="1">OFFSET('自動車台帳'!C246,'自動車台帳'!$AP246,0)</f>
        <v>#N/A</v>
      </c>
      <c r="B245" s="148" t="e">
        <f ca="1">OFFSET('自動車台帳'!D246,'自動車台帳'!$AP246,0)</f>
        <v>#N/A</v>
      </c>
      <c r="C245" s="148" t="e">
        <f ca="1">OFFSET('自動車台帳'!E246,'自動車台帳'!$AP246,0)</f>
        <v>#N/A</v>
      </c>
      <c r="D245" s="148" t="e">
        <f ca="1">OFFSET('自動車台帳'!F246,'自動車台帳'!$AP246,0)</f>
        <v>#N/A</v>
      </c>
      <c r="E245" s="149" t="e">
        <f ca="1">OFFSET('自動車台帳'!G246,'自動車台帳'!$AP246,0)</f>
        <v>#N/A</v>
      </c>
      <c r="F245" s="150" t="e">
        <f ca="1">OFFSET('自動車台帳'!H246,'自動車台帳'!$AP246,0)</f>
        <v>#N/A</v>
      </c>
      <c r="G245" s="148" t="e">
        <f ca="1">OFFSET('自動車台帳'!I246,'自動車台帳'!$AP246,0)</f>
        <v>#N/A</v>
      </c>
      <c r="H245" s="148" t="e">
        <f ca="1">OFFSET('自動車台帳'!J246,'自動車台帳'!$AP246,0)</f>
        <v>#N/A</v>
      </c>
      <c r="I245" s="149" t="e">
        <f ca="1">OFFSET('自動車台帳'!K246,'自動車台帳'!$AP246,0)</f>
        <v>#N/A</v>
      </c>
      <c r="J245" s="151" t="e">
        <f ca="1">OFFSET('自動車台帳'!L246,'自動車台帳'!$AP246,0)</f>
        <v>#N/A</v>
      </c>
      <c r="K245" s="152" t="e">
        <f ca="1">OFFSET('自動車台帳'!M246,'自動車台帳'!$AP246,0)</f>
        <v>#N/A</v>
      </c>
      <c r="L245" s="152" t="e">
        <f ca="1">OFFSET('自動車台帳'!N246,'自動車台帳'!$AP246,0)</f>
        <v>#N/A</v>
      </c>
      <c r="M245" s="148" t="e">
        <f ca="1">OFFSET('自動車台帳'!AB246,'自動車台帳'!$AP246,0)</f>
        <v>#N/A</v>
      </c>
      <c r="N245" s="148" t="e">
        <f ca="1">OFFSET('自動車台帳'!AC246,'自動車台帳'!$AP246,0)</f>
        <v>#N/A</v>
      </c>
      <c r="O245" s="153" t="e">
        <f ca="1">OFFSET('自動車台帳'!AD246,'自動車台帳'!$AP246,0)</f>
        <v>#N/A</v>
      </c>
      <c r="P245" s="154" t="e">
        <f ca="1">OFFSET('自動車台帳'!AE246,'自動車台帳'!$AP246,0)</f>
        <v>#N/A</v>
      </c>
      <c r="Q245" s="154" t="e">
        <f ca="1">OFFSET('自動車台帳'!AF246,'自動車台帳'!$AP246,0)</f>
        <v>#N/A</v>
      </c>
    </row>
    <row r="246" spans="1:17" ht="13.5">
      <c r="A246" s="148" t="e">
        <f ca="1">OFFSET('自動車台帳'!C247,'自動車台帳'!$AP247,0)</f>
        <v>#N/A</v>
      </c>
      <c r="B246" s="148" t="e">
        <f ca="1">OFFSET('自動車台帳'!D247,'自動車台帳'!$AP247,0)</f>
        <v>#N/A</v>
      </c>
      <c r="C246" s="148" t="e">
        <f ca="1">OFFSET('自動車台帳'!E247,'自動車台帳'!$AP247,0)</f>
        <v>#N/A</v>
      </c>
      <c r="D246" s="148" t="e">
        <f ca="1">OFFSET('自動車台帳'!F247,'自動車台帳'!$AP247,0)</f>
        <v>#N/A</v>
      </c>
      <c r="E246" s="149" t="e">
        <f ca="1">OFFSET('自動車台帳'!G247,'自動車台帳'!$AP247,0)</f>
        <v>#N/A</v>
      </c>
      <c r="F246" s="150" t="e">
        <f ca="1">OFFSET('自動車台帳'!H247,'自動車台帳'!$AP247,0)</f>
        <v>#N/A</v>
      </c>
      <c r="G246" s="148" t="e">
        <f ca="1">OFFSET('自動車台帳'!I247,'自動車台帳'!$AP247,0)</f>
        <v>#N/A</v>
      </c>
      <c r="H246" s="148" t="e">
        <f ca="1">OFFSET('自動車台帳'!J247,'自動車台帳'!$AP247,0)</f>
        <v>#N/A</v>
      </c>
      <c r="I246" s="149" t="e">
        <f ca="1">OFFSET('自動車台帳'!K247,'自動車台帳'!$AP247,0)</f>
        <v>#N/A</v>
      </c>
      <c r="J246" s="151" t="e">
        <f ca="1">OFFSET('自動車台帳'!L247,'自動車台帳'!$AP247,0)</f>
        <v>#N/A</v>
      </c>
      <c r="K246" s="152" t="e">
        <f ca="1">OFFSET('自動車台帳'!M247,'自動車台帳'!$AP247,0)</f>
        <v>#N/A</v>
      </c>
      <c r="L246" s="152" t="e">
        <f ca="1">OFFSET('自動車台帳'!N247,'自動車台帳'!$AP247,0)</f>
        <v>#N/A</v>
      </c>
      <c r="M246" s="148" t="e">
        <f ca="1">OFFSET('自動車台帳'!AB247,'自動車台帳'!$AP247,0)</f>
        <v>#N/A</v>
      </c>
      <c r="N246" s="148" t="e">
        <f ca="1">OFFSET('自動車台帳'!AC247,'自動車台帳'!$AP247,0)</f>
        <v>#N/A</v>
      </c>
      <c r="O246" s="153" t="e">
        <f ca="1">OFFSET('自動車台帳'!AD247,'自動車台帳'!$AP247,0)</f>
        <v>#N/A</v>
      </c>
      <c r="P246" s="154" t="e">
        <f ca="1">OFFSET('自動車台帳'!AE247,'自動車台帳'!$AP247,0)</f>
        <v>#N/A</v>
      </c>
      <c r="Q246" s="154" t="e">
        <f ca="1">OFFSET('自動車台帳'!AF247,'自動車台帳'!$AP247,0)</f>
        <v>#N/A</v>
      </c>
    </row>
    <row r="247" spans="1:17" ht="13.5">
      <c r="A247" s="148" t="e">
        <f ca="1">OFFSET('自動車台帳'!C248,'自動車台帳'!$AP248,0)</f>
        <v>#N/A</v>
      </c>
      <c r="B247" s="148" t="e">
        <f ca="1">OFFSET('自動車台帳'!D248,'自動車台帳'!$AP248,0)</f>
        <v>#N/A</v>
      </c>
      <c r="C247" s="148" t="e">
        <f ca="1">OFFSET('自動車台帳'!E248,'自動車台帳'!$AP248,0)</f>
        <v>#N/A</v>
      </c>
      <c r="D247" s="148" t="e">
        <f ca="1">OFFSET('自動車台帳'!F248,'自動車台帳'!$AP248,0)</f>
        <v>#N/A</v>
      </c>
      <c r="E247" s="149" t="e">
        <f ca="1">OFFSET('自動車台帳'!G248,'自動車台帳'!$AP248,0)</f>
        <v>#N/A</v>
      </c>
      <c r="F247" s="150" t="e">
        <f ca="1">OFFSET('自動車台帳'!H248,'自動車台帳'!$AP248,0)</f>
        <v>#N/A</v>
      </c>
      <c r="G247" s="148" t="e">
        <f ca="1">OFFSET('自動車台帳'!I248,'自動車台帳'!$AP248,0)</f>
        <v>#N/A</v>
      </c>
      <c r="H247" s="148" t="e">
        <f ca="1">OFFSET('自動車台帳'!J248,'自動車台帳'!$AP248,0)</f>
        <v>#N/A</v>
      </c>
      <c r="I247" s="149" t="e">
        <f ca="1">OFFSET('自動車台帳'!K248,'自動車台帳'!$AP248,0)</f>
        <v>#N/A</v>
      </c>
      <c r="J247" s="151" t="e">
        <f ca="1">OFFSET('自動車台帳'!L248,'自動車台帳'!$AP248,0)</f>
        <v>#N/A</v>
      </c>
      <c r="K247" s="152" t="e">
        <f ca="1">OFFSET('自動車台帳'!M248,'自動車台帳'!$AP248,0)</f>
        <v>#N/A</v>
      </c>
      <c r="L247" s="152" t="e">
        <f ca="1">OFFSET('自動車台帳'!N248,'自動車台帳'!$AP248,0)</f>
        <v>#N/A</v>
      </c>
      <c r="M247" s="148" t="e">
        <f ca="1">OFFSET('自動車台帳'!AB248,'自動車台帳'!$AP248,0)</f>
        <v>#N/A</v>
      </c>
      <c r="N247" s="148" t="e">
        <f ca="1">OFFSET('自動車台帳'!AC248,'自動車台帳'!$AP248,0)</f>
        <v>#N/A</v>
      </c>
      <c r="O247" s="153" t="e">
        <f ca="1">OFFSET('自動車台帳'!AD248,'自動車台帳'!$AP248,0)</f>
        <v>#N/A</v>
      </c>
      <c r="P247" s="154" t="e">
        <f ca="1">OFFSET('自動車台帳'!AE248,'自動車台帳'!$AP248,0)</f>
        <v>#N/A</v>
      </c>
      <c r="Q247" s="154" t="e">
        <f ca="1">OFFSET('自動車台帳'!AF248,'自動車台帳'!$AP248,0)</f>
        <v>#N/A</v>
      </c>
    </row>
    <row r="248" spans="1:17" ht="13.5">
      <c r="A248" s="148" t="e">
        <f ca="1">OFFSET('自動車台帳'!C249,'自動車台帳'!$AP249,0)</f>
        <v>#N/A</v>
      </c>
      <c r="B248" s="148" t="e">
        <f ca="1">OFFSET('自動車台帳'!D249,'自動車台帳'!$AP249,0)</f>
        <v>#N/A</v>
      </c>
      <c r="C248" s="148" t="e">
        <f ca="1">OFFSET('自動車台帳'!E249,'自動車台帳'!$AP249,0)</f>
        <v>#N/A</v>
      </c>
      <c r="D248" s="148" t="e">
        <f ca="1">OFFSET('自動車台帳'!F249,'自動車台帳'!$AP249,0)</f>
        <v>#N/A</v>
      </c>
      <c r="E248" s="149" t="e">
        <f ca="1">OFFSET('自動車台帳'!G249,'自動車台帳'!$AP249,0)</f>
        <v>#N/A</v>
      </c>
      <c r="F248" s="150" t="e">
        <f ca="1">OFFSET('自動車台帳'!H249,'自動車台帳'!$AP249,0)</f>
        <v>#N/A</v>
      </c>
      <c r="G248" s="148" t="e">
        <f ca="1">OFFSET('自動車台帳'!I249,'自動車台帳'!$AP249,0)</f>
        <v>#N/A</v>
      </c>
      <c r="H248" s="148" t="e">
        <f ca="1">OFFSET('自動車台帳'!J249,'自動車台帳'!$AP249,0)</f>
        <v>#N/A</v>
      </c>
      <c r="I248" s="149" t="e">
        <f ca="1">OFFSET('自動車台帳'!K249,'自動車台帳'!$AP249,0)</f>
        <v>#N/A</v>
      </c>
      <c r="J248" s="151" t="e">
        <f ca="1">OFFSET('自動車台帳'!L249,'自動車台帳'!$AP249,0)</f>
        <v>#N/A</v>
      </c>
      <c r="K248" s="152" t="e">
        <f ca="1">OFFSET('自動車台帳'!M249,'自動車台帳'!$AP249,0)</f>
        <v>#N/A</v>
      </c>
      <c r="L248" s="152" t="e">
        <f ca="1">OFFSET('自動車台帳'!N249,'自動車台帳'!$AP249,0)</f>
        <v>#N/A</v>
      </c>
      <c r="M248" s="148" t="e">
        <f ca="1">OFFSET('自動車台帳'!AB249,'自動車台帳'!$AP249,0)</f>
        <v>#N/A</v>
      </c>
      <c r="N248" s="148" t="e">
        <f ca="1">OFFSET('自動車台帳'!AC249,'自動車台帳'!$AP249,0)</f>
        <v>#N/A</v>
      </c>
      <c r="O248" s="153" t="e">
        <f ca="1">OFFSET('自動車台帳'!AD249,'自動車台帳'!$AP249,0)</f>
        <v>#N/A</v>
      </c>
      <c r="P248" s="154" t="e">
        <f ca="1">OFFSET('自動車台帳'!AE249,'自動車台帳'!$AP249,0)</f>
        <v>#N/A</v>
      </c>
      <c r="Q248" s="154" t="e">
        <f ca="1">OFFSET('自動車台帳'!AF249,'自動車台帳'!$AP249,0)</f>
        <v>#N/A</v>
      </c>
    </row>
    <row r="249" spans="1:17" ht="13.5">
      <c r="A249" s="148" t="e">
        <f ca="1">OFFSET('自動車台帳'!C250,'自動車台帳'!$AP250,0)</f>
        <v>#N/A</v>
      </c>
      <c r="B249" s="148" t="e">
        <f ca="1">OFFSET('自動車台帳'!D250,'自動車台帳'!$AP250,0)</f>
        <v>#N/A</v>
      </c>
      <c r="C249" s="148" t="e">
        <f ca="1">OFFSET('自動車台帳'!E250,'自動車台帳'!$AP250,0)</f>
        <v>#N/A</v>
      </c>
      <c r="D249" s="148" t="e">
        <f ca="1">OFFSET('自動車台帳'!F250,'自動車台帳'!$AP250,0)</f>
        <v>#N/A</v>
      </c>
      <c r="E249" s="149" t="e">
        <f ca="1">OFFSET('自動車台帳'!G250,'自動車台帳'!$AP250,0)</f>
        <v>#N/A</v>
      </c>
      <c r="F249" s="150" t="e">
        <f ca="1">OFFSET('自動車台帳'!H250,'自動車台帳'!$AP250,0)</f>
        <v>#N/A</v>
      </c>
      <c r="G249" s="148" t="e">
        <f ca="1">OFFSET('自動車台帳'!I250,'自動車台帳'!$AP250,0)</f>
        <v>#N/A</v>
      </c>
      <c r="H249" s="148" t="e">
        <f ca="1">OFFSET('自動車台帳'!J250,'自動車台帳'!$AP250,0)</f>
        <v>#N/A</v>
      </c>
      <c r="I249" s="149" t="e">
        <f ca="1">OFFSET('自動車台帳'!K250,'自動車台帳'!$AP250,0)</f>
        <v>#N/A</v>
      </c>
      <c r="J249" s="151" t="e">
        <f ca="1">OFFSET('自動車台帳'!L250,'自動車台帳'!$AP250,0)</f>
        <v>#N/A</v>
      </c>
      <c r="K249" s="152" t="e">
        <f ca="1">OFFSET('自動車台帳'!M250,'自動車台帳'!$AP250,0)</f>
        <v>#N/A</v>
      </c>
      <c r="L249" s="152" t="e">
        <f ca="1">OFFSET('自動車台帳'!N250,'自動車台帳'!$AP250,0)</f>
        <v>#N/A</v>
      </c>
      <c r="M249" s="148" t="e">
        <f ca="1">OFFSET('自動車台帳'!AB250,'自動車台帳'!$AP250,0)</f>
        <v>#N/A</v>
      </c>
      <c r="N249" s="148" t="e">
        <f ca="1">OFFSET('自動車台帳'!AC250,'自動車台帳'!$AP250,0)</f>
        <v>#N/A</v>
      </c>
      <c r="O249" s="153" t="e">
        <f ca="1">OFFSET('自動車台帳'!AD250,'自動車台帳'!$AP250,0)</f>
        <v>#N/A</v>
      </c>
      <c r="P249" s="154" t="e">
        <f ca="1">OFFSET('自動車台帳'!AE250,'自動車台帳'!$AP250,0)</f>
        <v>#N/A</v>
      </c>
      <c r="Q249" s="154" t="e">
        <f ca="1">OFFSET('自動車台帳'!AF250,'自動車台帳'!$AP250,0)</f>
        <v>#N/A</v>
      </c>
    </row>
    <row r="250" spans="1:17" ht="13.5">
      <c r="A250" s="148" t="e">
        <f ca="1">OFFSET('自動車台帳'!C251,'自動車台帳'!$AP251,0)</f>
        <v>#N/A</v>
      </c>
      <c r="B250" s="148" t="e">
        <f ca="1">OFFSET('自動車台帳'!D251,'自動車台帳'!$AP251,0)</f>
        <v>#N/A</v>
      </c>
      <c r="C250" s="148" t="e">
        <f ca="1">OFFSET('自動車台帳'!E251,'自動車台帳'!$AP251,0)</f>
        <v>#N/A</v>
      </c>
      <c r="D250" s="148" t="e">
        <f ca="1">OFFSET('自動車台帳'!F251,'自動車台帳'!$AP251,0)</f>
        <v>#N/A</v>
      </c>
      <c r="E250" s="149" t="e">
        <f ca="1">OFFSET('自動車台帳'!G251,'自動車台帳'!$AP251,0)</f>
        <v>#N/A</v>
      </c>
      <c r="F250" s="150" t="e">
        <f ca="1">OFFSET('自動車台帳'!H251,'自動車台帳'!$AP251,0)</f>
        <v>#N/A</v>
      </c>
      <c r="G250" s="148" t="e">
        <f ca="1">OFFSET('自動車台帳'!I251,'自動車台帳'!$AP251,0)</f>
        <v>#N/A</v>
      </c>
      <c r="H250" s="148" t="e">
        <f ca="1">OFFSET('自動車台帳'!J251,'自動車台帳'!$AP251,0)</f>
        <v>#N/A</v>
      </c>
      <c r="I250" s="149" t="e">
        <f ca="1">OFFSET('自動車台帳'!K251,'自動車台帳'!$AP251,0)</f>
        <v>#N/A</v>
      </c>
      <c r="J250" s="151" t="e">
        <f ca="1">OFFSET('自動車台帳'!L251,'自動車台帳'!$AP251,0)</f>
        <v>#N/A</v>
      </c>
      <c r="K250" s="152" t="e">
        <f ca="1">OFFSET('自動車台帳'!M251,'自動車台帳'!$AP251,0)</f>
        <v>#N/A</v>
      </c>
      <c r="L250" s="152" t="e">
        <f ca="1">OFFSET('自動車台帳'!N251,'自動車台帳'!$AP251,0)</f>
        <v>#N/A</v>
      </c>
      <c r="M250" s="148" t="e">
        <f ca="1">OFFSET('自動車台帳'!AB251,'自動車台帳'!$AP251,0)</f>
        <v>#N/A</v>
      </c>
      <c r="N250" s="148" t="e">
        <f ca="1">OFFSET('自動車台帳'!AC251,'自動車台帳'!$AP251,0)</f>
        <v>#N/A</v>
      </c>
      <c r="O250" s="153" t="e">
        <f ca="1">OFFSET('自動車台帳'!AD251,'自動車台帳'!$AP251,0)</f>
        <v>#N/A</v>
      </c>
      <c r="P250" s="154" t="e">
        <f ca="1">OFFSET('自動車台帳'!AE251,'自動車台帳'!$AP251,0)</f>
        <v>#N/A</v>
      </c>
      <c r="Q250" s="154" t="e">
        <f ca="1">OFFSET('自動車台帳'!AF251,'自動車台帳'!$AP251,0)</f>
        <v>#N/A</v>
      </c>
    </row>
    <row r="251" spans="1:17" ht="13.5">
      <c r="A251" s="148" t="e">
        <f ca="1">OFFSET('自動車台帳'!C252,'自動車台帳'!$AP252,0)</f>
        <v>#N/A</v>
      </c>
      <c r="B251" s="148" t="e">
        <f ca="1">OFFSET('自動車台帳'!D252,'自動車台帳'!$AP252,0)</f>
        <v>#N/A</v>
      </c>
      <c r="C251" s="148" t="e">
        <f ca="1">OFFSET('自動車台帳'!E252,'自動車台帳'!$AP252,0)</f>
        <v>#N/A</v>
      </c>
      <c r="D251" s="148" t="e">
        <f ca="1">OFFSET('自動車台帳'!F252,'自動車台帳'!$AP252,0)</f>
        <v>#N/A</v>
      </c>
      <c r="E251" s="149" t="e">
        <f ca="1">OFFSET('自動車台帳'!G252,'自動車台帳'!$AP252,0)</f>
        <v>#N/A</v>
      </c>
      <c r="F251" s="150" t="e">
        <f ca="1">OFFSET('自動車台帳'!H252,'自動車台帳'!$AP252,0)</f>
        <v>#N/A</v>
      </c>
      <c r="G251" s="148" t="e">
        <f ca="1">OFFSET('自動車台帳'!I252,'自動車台帳'!$AP252,0)</f>
        <v>#N/A</v>
      </c>
      <c r="H251" s="148" t="e">
        <f ca="1">OFFSET('自動車台帳'!J252,'自動車台帳'!$AP252,0)</f>
        <v>#N/A</v>
      </c>
      <c r="I251" s="149" t="e">
        <f ca="1">OFFSET('自動車台帳'!K252,'自動車台帳'!$AP252,0)</f>
        <v>#N/A</v>
      </c>
      <c r="J251" s="151" t="e">
        <f ca="1">OFFSET('自動車台帳'!L252,'自動車台帳'!$AP252,0)</f>
        <v>#N/A</v>
      </c>
      <c r="K251" s="152" t="e">
        <f ca="1">OFFSET('自動車台帳'!M252,'自動車台帳'!$AP252,0)</f>
        <v>#N/A</v>
      </c>
      <c r="L251" s="152" t="e">
        <f ca="1">OFFSET('自動車台帳'!N252,'自動車台帳'!$AP252,0)</f>
        <v>#N/A</v>
      </c>
      <c r="M251" s="148" t="e">
        <f ca="1">OFFSET('自動車台帳'!AB252,'自動車台帳'!$AP252,0)</f>
        <v>#N/A</v>
      </c>
      <c r="N251" s="148" t="e">
        <f ca="1">OFFSET('自動車台帳'!AC252,'自動車台帳'!$AP252,0)</f>
        <v>#N/A</v>
      </c>
      <c r="O251" s="153" t="e">
        <f ca="1">OFFSET('自動車台帳'!AD252,'自動車台帳'!$AP252,0)</f>
        <v>#N/A</v>
      </c>
      <c r="P251" s="154" t="e">
        <f ca="1">OFFSET('自動車台帳'!AE252,'自動車台帳'!$AP252,0)</f>
        <v>#N/A</v>
      </c>
      <c r="Q251" s="154" t="e">
        <f ca="1">OFFSET('自動車台帳'!AF252,'自動車台帳'!$AP252,0)</f>
        <v>#N/A</v>
      </c>
    </row>
    <row r="252" spans="1:17" ht="13.5">
      <c r="A252" s="148" t="e">
        <f ca="1">OFFSET('自動車台帳'!C253,'自動車台帳'!$AP253,0)</f>
        <v>#N/A</v>
      </c>
      <c r="B252" s="148" t="e">
        <f ca="1">OFFSET('自動車台帳'!D253,'自動車台帳'!$AP253,0)</f>
        <v>#N/A</v>
      </c>
      <c r="C252" s="148" t="e">
        <f ca="1">OFFSET('自動車台帳'!E253,'自動車台帳'!$AP253,0)</f>
        <v>#N/A</v>
      </c>
      <c r="D252" s="148" t="e">
        <f ca="1">OFFSET('自動車台帳'!F253,'自動車台帳'!$AP253,0)</f>
        <v>#N/A</v>
      </c>
      <c r="E252" s="149" t="e">
        <f ca="1">OFFSET('自動車台帳'!G253,'自動車台帳'!$AP253,0)</f>
        <v>#N/A</v>
      </c>
      <c r="F252" s="150" t="e">
        <f ca="1">OFFSET('自動車台帳'!H253,'自動車台帳'!$AP253,0)</f>
        <v>#N/A</v>
      </c>
      <c r="G252" s="148" t="e">
        <f ca="1">OFFSET('自動車台帳'!I253,'自動車台帳'!$AP253,0)</f>
        <v>#N/A</v>
      </c>
      <c r="H252" s="148" t="e">
        <f ca="1">OFFSET('自動車台帳'!J253,'自動車台帳'!$AP253,0)</f>
        <v>#N/A</v>
      </c>
      <c r="I252" s="149" t="e">
        <f ca="1">OFFSET('自動車台帳'!K253,'自動車台帳'!$AP253,0)</f>
        <v>#N/A</v>
      </c>
      <c r="J252" s="151" t="e">
        <f ca="1">OFFSET('自動車台帳'!L253,'自動車台帳'!$AP253,0)</f>
        <v>#N/A</v>
      </c>
      <c r="K252" s="152" t="e">
        <f ca="1">OFFSET('自動車台帳'!M253,'自動車台帳'!$AP253,0)</f>
        <v>#N/A</v>
      </c>
      <c r="L252" s="152" t="e">
        <f ca="1">OFFSET('自動車台帳'!N253,'自動車台帳'!$AP253,0)</f>
        <v>#N/A</v>
      </c>
      <c r="M252" s="148" t="e">
        <f ca="1">OFFSET('自動車台帳'!AB253,'自動車台帳'!$AP253,0)</f>
        <v>#N/A</v>
      </c>
      <c r="N252" s="148" t="e">
        <f ca="1">OFFSET('自動車台帳'!AC253,'自動車台帳'!$AP253,0)</f>
        <v>#N/A</v>
      </c>
      <c r="O252" s="153" t="e">
        <f ca="1">OFFSET('自動車台帳'!AD253,'自動車台帳'!$AP253,0)</f>
        <v>#N/A</v>
      </c>
      <c r="P252" s="154" t="e">
        <f ca="1">OFFSET('自動車台帳'!AE253,'自動車台帳'!$AP253,0)</f>
        <v>#N/A</v>
      </c>
      <c r="Q252" s="154" t="e">
        <f ca="1">OFFSET('自動車台帳'!AF253,'自動車台帳'!$AP253,0)</f>
        <v>#N/A</v>
      </c>
    </row>
    <row r="253" spans="1:17" ht="13.5">
      <c r="A253" s="148" t="e">
        <f ca="1">OFFSET('自動車台帳'!C254,'自動車台帳'!$AP254,0)</f>
        <v>#N/A</v>
      </c>
      <c r="B253" s="148" t="e">
        <f ca="1">OFFSET('自動車台帳'!D254,'自動車台帳'!$AP254,0)</f>
        <v>#N/A</v>
      </c>
      <c r="C253" s="148" t="e">
        <f ca="1">OFFSET('自動車台帳'!E254,'自動車台帳'!$AP254,0)</f>
        <v>#N/A</v>
      </c>
      <c r="D253" s="148" t="e">
        <f ca="1">OFFSET('自動車台帳'!F254,'自動車台帳'!$AP254,0)</f>
        <v>#N/A</v>
      </c>
      <c r="E253" s="149" t="e">
        <f ca="1">OFFSET('自動車台帳'!G254,'自動車台帳'!$AP254,0)</f>
        <v>#N/A</v>
      </c>
      <c r="F253" s="150" t="e">
        <f ca="1">OFFSET('自動車台帳'!H254,'自動車台帳'!$AP254,0)</f>
        <v>#N/A</v>
      </c>
      <c r="G253" s="148" t="e">
        <f ca="1">OFFSET('自動車台帳'!I254,'自動車台帳'!$AP254,0)</f>
        <v>#N/A</v>
      </c>
      <c r="H253" s="148" t="e">
        <f ca="1">OFFSET('自動車台帳'!J254,'自動車台帳'!$AP254,0)</f>
        <v>#N/A</v>
      </c>
      <c r="I253" s="149" t="e">
        <f ca="1">OFFSET('自動車台帳'!K254,'自動車台帳'!$AP254,0)</f>
        <v>#N/A</v>
      </c>
      <c r="J253" s="151" t="e">
        <f ca="1">OFFSET('自動車台帳'!L254,'自動車台帳'!$AP254,0)</f>
        <v>#N/A</v>
      </c>
      <c r="K253" s="152" t="e">
        <f ca="1">OFFSET('自動車台帳'!M254,'自動車台帳'!$AP254,0)</f>
        <v>#N/A</v>
      </c>
      <c r="L253" s="152" t="e">
        <f ca="1">OFFSET('自動車台帳'!N254,'自動車台帳'!$AP254,0)</f>
        <v>#N/A</v>
      </c>
      <c r="M253" s="148" t="e">
        <f ca="1">OFFSET('自動車台帳'!AB254,'自動車台帳'!$AP254,0)</f>
        <v>#N/A</v>
      </c>
      <c r="N253" s="148" t="e">
        <f ca="1">OFFSET('自動車台帳'!AC254,'自動車台帳'!$AP254,0)</f>
        <v>#N/A</v>
      </c>
      <c r="O253" s="153" t="e">
        <f ca="1">OFFSET('自動車台帳'!AD254,'自動車台帳'!$AP254,0)</f>
        <v>#N/A</v>
      </c>
      <c r="P253" s="154" t="e">
        <f ca="1">OFFSET('自動車台帳'!AE254,'自動車台帳'!$AP254,0)</f>
        <v>#N/A</v>
      </c>
      <c r="Q253" s="154" t="e">
        <f ca="1">OFFSET('自動車台帳'!AF254,'自動車台帳'!$AP254,0)</f>
        <v>#N/A</v>
      </c>
    </row>
    <row r="254" spans="1:17" ht="13.5">
      <c r="A254" s="148" t="e">
        <f ca="1">OFFSET('自動車台帳'!C255,'自動車台帳'!$AP255,0)</f>
        <v>#N/A</v>
      </c>
      <c r="B254" s="148" t="e">
        <f ca="1">OFFSET('自動車台帳'!D255,'自動車台帳'!$AP255,0)</f>
        <v>#N/A</v>
      </c>
      <c r="C254" s="148" t="e">
        <f ca="1">OFFSET('自動車台帳'!E255,'自動車台帳'!$AP255,0)</f>
        <v>#N/A</v>
      </c>
      <c r="D254" s="148" t="e">
        <f ca="1">OFFSET('自動車台帳'!F255,'自動車台帳'!$AP255,0)</f>
        <v>#N/A</v>
      </c>
      <c r="E254" s="149" t="e">
        <f ca="1">OFFSET('自動車台帳'!G255,'自動車台帳'!$AP255,0)</f>
        <v>#N/A</v>
      </c>
      <c r="F254" s="150" t="e">
        <f ca="1">OFFSET('自動車台帳'!H255,'自動車台帳'!$AP255,0)</f>
        <v>#N/A</v>
      </c>
      <c r="G254" s="148" t="e">
        <f ca="1">OFFSET('自動車台帳'!I255,'自動車台帳'!$AP255,0)</f>
        <v>#N/A</v>
      </c>
      <c r="H254" s="148" t="e">
        <f ca="1">OFFSET('自動車台帳'!J255,'自動車台帳'!$AP255,0)</f>
        <v>#N/A</v>
      </c>
      <c r="I254" s="149" t="e">
        <f ca="1">OFFSET('自動車台帳'!K255,'自動車台帳'!$AP255,0)</f>
        <v>#N/A</v>
      </c>
      <c r="J254" s="151" t="e">
        <f ca="1">OFFSET('自動車台帳'!L255,'自動車台帳'!$AP255,0)</f>
        <v>#N/A</v>
      </c>
      <c r="K254" s="152" t="e">
        <f ca="1">OFFSET('自動車台帳'!M255,'自動車台帳'!$AP255,0)</f>
        <v>#N/A</v>
      </c>
      <c r="L254" s="152" t="e">
        <f ca="1">OFFSET('自動車台帳'!N255,'自動車台帳'!$AP255,0)</f>
        <v>#N/A</v>
      </c>
      <c r="M254" s="148" t="e">
        <f ca="1">OFFSET('自動車台帳'!AB255,'自動車台帳'!$AP255,0)</f>
        <v>#N/A</v>
      </c>
      <c r="N254" s="148" t="e">
        <f ca="1">OFFSET('自動車台帳'!AC255,'自動車台帳'!$AP255,0)</f>
        <v>#N/A</v>
      </c>
      <c r="O254" s="153" t="e">
        <f ca="1">OFFSET('自動車台帳'!AD255,'自動車台帳'!$AP255,0)</f>
        <v>#N/A</v>
      </c>
      <c r="P254" s="154" t="e">
        <f ca="1">OFFSET('自動車台帳'!AE255,'自動車台帳'!$AP255,0)</f>
        <v>#N/A</v>
      </c>
      <c r="Q254" s="154" t="e">
        <f ca="1">OFFSET('自動車台帳'!AF255,'自動車台帳'!$AP255,0)</f>
        <v>#N/A</v>
      </c>
    </row>
    <row r="255" spans="1:17" ht="13.5">
      <c r="A255" s="148" t="e">
        <f ca="1">OFFSET('自動車台帳'!C256,'自動車台帳'!$AP256,0)</f>
        <v>#N/A</v>
      </c>
      <c r="B255" s="148" t="e">
        <f ca="1">OFFSET('自動車台帳'!D256,'自動車台帳'!$AP256,0)</f>
        <v>#N/A</v>
      </c>
      <c r="C255" s="148" t="e">
        <f ca="1">OFFSET('自動車台帳'!E256,'自動車台帳'!$AP256,0)</f>
        <v>#N/A</v>
      </c>
      <c r="D255" s="148" t="e">
        <f ca="1">OFFSET('自動車台帳'!F256,'自動車台帳'!$AP256,0)</f>
        <v>#N/A</v>
      </c>
      <c r="E255" s="149" t="e">
        <f ca="1">OFFSET('自動車台帳'!G256,'自動車台帳'!$AP256,0)</f>
        <v>#N/A</v>
      </c>
      <c r="F255" s="150" t="e">
        <f ca="1">OFFSET('自動車台帳'!H256,'自動車台帳'!$AP256,0)</f>
        <v>#N/A</v>
      </c>
      <c r="G255" s="148" t="e">
        <f ca="1">OFFSET('自動車台帳'!I256,'自動車台帳'!$AP256,0)</f>
        <v>#N/A</v>
      </c>
      <c r="H255" s="148" t="e">
        <f ca="1">OFFSET('自動車台帳'!J256,'自動車台帳'!$AP256,0)</f>
        <v>#N/A</v>
      </c>
      <c r="I255" s="149" t="e">
        <f ca="1">OFFSET('自動車台帳'!K256,'自動車台帳'!$AP256,0)</f>
        <v>#N/A</v>
      </c>
      <c r="J255" s="151" t="e">
        <f ca="1">OFFSET('自動車台帳'!L256,'自動車台帳'!$AP256,0)</f>
        <v>#N/A</v>
      </c>
      <c r="K255" s="152" t="e">
        <f ca="1">OFFSET('自動車台帳'!M256,'自動車台帳'!$AP256,0)</f>
        <v>#N/A</v>
      </c>
      <c r="L255" s="152" t="e">
        <f ca="1">OFFSET('自動車台帳'!N256,'自動車台帳'!$AP256,0)</f>
        <v>#N/A</v>
      </c>
      <c r="M255" s="148" t="e">
        <f ca="1">OFFSET('自動車台帳'!AB256,'自動車台帳'!$AP256,0)</f>
        <v>#N/A</v>
      </c>
      <c r="N255" s="148" t="e">
        <f ca="1">OFFSET('自動車台帳'!AC256,'自動車台帳'!$AP256,0)</f>
        <v>#N/A</v>
      </c>
      <c r="O255" s="153" t="e">
        <f ca="1">OFFSET('自動車台帳'!AD256,'自動車台帳'!$AP256,0)</f>
        <v>#N/A</v>
      </c>
      <c r="P255" s="154" t="e">
        <f ca="1">OFFSET('自動車台帳'!AE256,'自動車台帳'!$AP256,0)</f>
        <v>#N/A</v>
      </c>
      <c r="Q255" s="154" t="e">
        <f ca="1">OFFSET('自動車台帳'!AF256,'自動車台帳'!$AP256,0)</f>
        <v>#N/A</v>
      </c>
    </row>
    <row r="256" spans="1:17" ht="13.5">
      <c r="A256" s="148" t="e">
        <f ca="1">OFFSET('自動車台帳'!C257,'自動車台帳'!$AP257,0)</f>
        <v>#N/A</v>
      </c>
      <c r="B256" s="148" t="e">
        <f ca="1">OFFSET('自動車台帳'!D257,'自動車台帳'!$AP257,0)</f>
        <v>#N/A</v>
      </c>
      <c r="C256" s="148" t="e">
        <f ca="1">OFFSET('自動車台帳'!E257,'自動車台帳'!$AP257,0)</f>
        <v>#N/A</v>
      </c>
      <c r="D256" s="148" t="e">
        <f ca="1">OFFSET('自動車台帳'!F257,'自動車台帳'!$AP257,0)</f>
        <v>#N/A</v>
      </c>
      <c r="E256" s="149" t="e">
        <f ca="1">OFFSET('自動車台帳'!G257,'自動車台帳'!$AP257,0)</f>
        <v>#N/A</v>
      </c>
      <c r="F256" s="150" t="e">
        <f ca="1">OFFSET('自動車台帳'!H257,'自動車台帳'!$AP257,0)</f>
        <v>#N/A</v>
      </c>
      <c r="G256" s="148" t="e">
        <f ca="1">OFFSET('自動車台帳'!I257,'自動車台帳'!$AP257,0)</f>
        <v>#N/A</v>
      </c>
      <c r="H256" s="148" t="e">
        <f ca="1">OFFSET('自動車台帳'!J257,'自動車台帳'!$AP257,0)</f>
        <v>#N/A</v>
      </c>
      <c r="I256" s="149" t="e">
        <f ca="1">OFFSET('自動車台帳'!K257,'自動車台帳'!$AP257,0)</f>
        <v>#N/A</v>
      </c>
      <c r="J256" s="151" t="e">
        <f ca="1">OFFSET('自動車台帳'!L257,'自動車台帳'!$AP257,0)</f>
        <v>#N/A</v>
      </c>
      <c r="K256" s="152" t="e">
        <f ca="1">OFFSET('自動車台帳'!M257,'自動車台帳'!$AP257,0)</f>
        <v>#N/A</v>
      </c>
      <c r="L256" s="152" t="e">
        <f ca="1">OFFSET('自動車台帳'!N257,'自動車台帳'!$AP257,0)</f>
        <v>#N/A</v>
      </c>
      <c r="M256" s="148" t="e">
        <f ca="1">OFFSET('自動車台帳'!AB257,'自動車台帳'!$AP257,0)</f>
        <v>#N/A</v>
      </c>
      <c r="N256" s="148" t="e">
        <f ca="1">OFFSET('自動車台帳'!AC257,'自動車台帳'!$AP257,0)</f>
        <v>#N/A</v>
      </c>
      <c r="O256" s="153" t="e">
        <f ca="1">OFFSET('自動車台帳'!AD257,'自動車台帳'!$AP257,0)</f>
        <v>#N/A</v>
      </c>
      <c r="P256" s="154" t="e">
        <f ca="1">OFFSET('自動車台帳'!AE257,'自動車台帳'!$AP257,0)</f>
        <v>#N/A</v>
      </c>
      <c r="Q256" s="154" t="e">
        <f ca="1">OFFSET('自動車台帳'!AF257,'自動車台帳'!$AP257,0)</f>
        <v>#N/A</v>
      </c>
    </row>
    <row r="257" spans="1:17" ht="13.5">
      <c r="A257" s="148" t="e">
        <f ca="1">OFFSET('自動車台帳'!C258,'自動車台帳'!$AP258,0)</f>
        <v>#N/A</v>
      </c>
      <c r="B257" s="148" t="e">
        <f ca="1">OFFSET('自動車台帳'!D258,'自動車台帳'!$AP258,0)</f>
        <v>#N/A</v>
      </c>
      <c r="C257" s="148" t="e">
        <f ca="1">OFFSET('自動車台帳'!E258,'自動車台帳'!$AP258,0)</f>
        <v>#N/A</v>
      </c>
      <c r="D257" s="148" t="e">
        <f ca="1">OFFSET('自動車台帳'!F258,'自動車台帳'!$AP258,0)</f>
        <v>#N/A</v>
      </c>
      <c r="E257" s="149" t="e">
        <f ca="1">OFFSET('自動車台帳'!G258,'自動車台帳'!$AP258,0)</f>
        <v>#N/A</v>
      </c>
      <c r="F257" s="150" t="e">
        <f ca="1">OFFSET('自動車台帳'!H258,'自動車台帳'!$AP258,0)</f>
        <v>#N/A</v>
      </c>
      <c r="G257" s="148" t="e">
        <f ca="1">OFFSET('自動車台帳'!I258,'自動車台帳'!$AP258,0)</f>
        <v>#N/A</v>
      </c>
      <c r="H257" s="148" t="e">
        <f ca="1">OFFSET('自動車台帳'!J258,'自動車台帳'!$AP258,0)</f>
        <v>#N/A</v>
      </c>
      <c r="I257" s="149" t="e">
        <f ca="1">OFFSET('自動車台帳'!K258,'自動車台帳'!$AP258,0)</f>
        <v>#N/A</v>
      </c>
      <c r="J257" s="151" t="e">
        <f ca="1">OFFSET('自動車台帳'!L258,'自動車台帳'!$AP258,0)</f>
        <v>#N/A</v>
      </c>
      <c r="K257" s="152" t="e">
        <f ca="1">OFFSET('自動車台帳'!M258,'自動車台帳'!$AP258,0)</f>
        <v>#N/A</v>
      </c>
      <c r="L257" s="152" t="e">
        <f ca="1">OFFSET('自動車台帳'!N258,'自動車台帳'!$AP258,0)</f>
        <v>#N/A</v>
      </c>
      <c r="M257" s="148" t="e">
        <f ca="1">OFFSET('自動車台帳'!AB258,'自動車台帳'!$AP258,0)</f>
        <v>#N/A</v>
      </c>
      <c r="N257" s="148" t="e">
        <f ca="1">OFFSET('自動車台帳'!AC258,'自動車台帳'!$AP258,0)</f>
        <v>#N/A</v>
      </c>
      <c r="O257" s="153" t="e">
        <f ca="1">OFFSET('自動車台帳'!AD258,'自動車台帳'!$AP258,0)</f>
        <v>#N/A</v>
      </c>
      <c r="P257" s="154" t="e">
        <f ca="1">OFFSET('自動車台帳'!AE258,'自動車台帳'!$AP258,0)</f>
        <v>#N/A</v>
      </c>
      <c r="Q257" s="154" t="e">
        <f ca="1">OFFSET('自動車台帳'!AF258,'自動車台帳'!$AP258,0)</f>
        <v>#N/A</v>
      </c>
    </row>
    <row r="258" spans="1:17" ht="13.5">
      <c r="A258" s="148" t="e">
        <f ca="1">OFFSET('自動車台帳'!C259,'自動車台帳'!$AP259,0)</f>
        <v>#N/A</v>
      </c>
      <c r="B258" s="148" t="e">
        <f ca="1">OFFSET('自動車台帳'!D259,'自動車台帳'!$AP259,0)</f>
        <v>#N/A</v>
      </c>
      <c r="C258" s="148" t="e">
        <f ca="1">OFFSET('自動車台帳'!E259,'自動車台帳'!$AP259,0)</f>
        <v>#N/A</v>
      </c>
      <c r="D258" s="148" t="e">
        <f ca="1">OFFSET('自動車台帳'!F259,'自動車台帳'!$AP259,0)</f>
        <v>#N/A</v>
      </c>
      <c r="E258" s="149" t="e">
        <f ca="1">OFFSET('自動車台帳'!G259,'自動車台帳'!$AP259,0)</f>
        <v>#N/A</v>
      </c>
      <c r="F258" s="150" t="e">
        <f ca="1">OFFSET('自動車台帳'!H259,'自動車台帳'!$AP259,0)</f>
        <v>#N/A</v>
      </c>
      <c r="G258" s="148" t="e">
        <f ca="1">OFFSET('自動車台帳'!I259,'自動車台帳'!$AP259,0)</f>
        <v>#N/A</v>
      </c>
      <c r="H258" s="148" t="e">
        <f ca="1">OFFSET('自動車台帳'!J259,'自動車台帳'!$AP259,0)</f>
        <v>#N/A</v>
      </c>
      <c r="I258" s="149" t="e">
        <f ca="1">OFFSET('自動車台帳'!K259,'自動車台帳'!$AP259,0)</f>
        <v>#N/A</v>
      </c>
      <c r="J258" s="151" t="e">
        <f ca="1">OFFSET('自動車台帳'!L259,'自動車台帳'!$AP259,0)</f>
        <v>#N/A</v>
      </c>
      <c r="K258" s="152" t="e">
        <f ca="1">OFFSET('自動車台帳'!M259,'自動車台帳'!$AP259,0)</f>
        <v>#N/A</v>
      </c>
      <c r="L258" s="152" t="e">
        <f ca="1">OFFSET('自動車台帳'!N259,'自動車台帳'!$AP259,0)</f>
        <v>#N/A</v>
      </c>
      <c r="M258" s="148" t="e">
        <f ca="1">OFFSET('自動車台帳'!AB259,'自動車台帳'!$AP259,0)</f>
        <v>#N/A</v>
      </c>
      <c r="N258" s="148" t="e">
        <f ca="1">OFFSET('自動車台帳'!AC259,'自動車台帳'!$AP259,0)</f>
        <v>#N/A</v>
      </c>
      <c r="O258" s="153" t="e">
        <f ca="1">OFFSET('自動車台帳'!AD259,'自動車台帳'!$AP259,0)</f>
        <v>#N/A</v>
      </c>
      <c r="P258" s="154" t="e">
        <f ca="1">OFFSET('自動車台帳'!AE259,'自動車台帳'!$AP259,0)</f>
        <v>#N/A</v>
      </c>
      <c r="Q258" s="154" t="e">
        <f ca="1">OFFSET('自動車台帳'!AF259,'自動車台帳'!$AP259,0)</f>
        <v>#N/A</v>
      </c>
    </row>
    <row r="259" spans="1:17" ht="13.5">
      <c r="A259" s="148" t="e">
        <f ca="1">OFFSET('自動車台帳'!C260,'自動車台帳'!$AP260,0)</f>
        <v>#N/A</v>
      </c>
      <c r="B259" s="148" t="e">
        <f ca="1">OFFSET('自動車台帳'!D260,'自動車台帳'!$AP260,0)</f>
        <v>#N/A</v>
      </c>
      <c r="C259" s="148" t="e">
        <f ca="1">OFFSET('自動車台帳'!E260,'自動車台帳'!$AP260,0)</f>
        <v>#N/A</v>
      </c>
      <c r="D259" s="148" t="e">
        <f ca="1">OFFSET('自動車台帳'!F260,'自動車台帳'!$AP260,0)</f>
        <v>#N/A</v>
      </c>
      <c r="E259" s="149" t="e">
        <f ca="1">OFFSET('自動車台帳'!G260,'自動車台帳'!$AP260,0)</f>
        <v>#N/A</v>
      </c>
      <c r="F259" s="150" t="e">
        <f ca="1">OFFSET('自動車台帳'!H260,'自動車台帳'!$AP260,0)</f>
        <v>#N/A</v>
      </c>
      <c r="G259" s="148" t="e">
        <f ca="1">OFFSET('自動車台帳'!I260,'自動車台帳'!$AP260,0)</f>
        <v>#N/A</v>
      </c>
      <c r="H259" s="148" t="e">
        <f ca="1">OFFSET('自動車台帳'!J260,'自動車台帳'!$AP260,0)</f>
        <v>#N/A</v>
      </c>
      <c r="I259" s="149" t="e">
        <f ca="1">OFFSET('自動車台帳'!K260,'自動車台帳'!$AP260,0)</f>
        <v>#N/A</v>
      </c>
      <c r="J259" s="151" t="e">
        <f ca="1">OFFSET('自動車台帳'!L260,'自動車台帳'!$AP260,0)</f>
        <v>#N/A</v>
      </c>
      <c r="K259" s="152" t="e">
        <f ca="1">OFFSET('自動車台帳'!M260,'自動車台帳'!$AP260,0)</f>
        <v>#N/A</v>
      </c>
      <c r="L259" s="152" t="e">
        <f ca="1">OFFSET('自動車台帳'!N260,'自動車台帳'!$AP260,0)</f>
        <v>#N/A</v>
      </c>
      <c r="M259" s="148" t="e">
        <f ca="1">OFFSET('自動車台帳'!AB260,'自動車台帳'!$AP260,0)</f>
        <v>#N/A</v>
      </c>
      <c r="N259" s="148" t="e">
        <f ca="1">OFFSET('自動車台帳'!AC260,'自動車台帳'!$AP260,0)</f>
        <v>#N/A</v>
      </c>
      <c r="O259" s="153" t="e">
        <f ca="1">OFFSET('自動車台帳'!AD260,'自動車台帳'!$AP260,0)</f>
        <v>#N/A</v>
      </c>
      <c r="P259" s="154" t="e">
        <f ca="1">OFFSET('自動車台帳'!AE260,'自動車台帳'!$AP260,0)</f>
        <v>#N/A</v>
      </c>
      <c r="Q259" s="154" t="e">
        <f ca="1">OFFSET('自動車台帳'!AF260,'自動車台帳'!$AP260,0)</f>
        <v>#N/A</v>
      </c>
    </row>
    <row r="260" spans="1:17" ht="13.5">
      <c r="A260" s="148" t="e">
        <f ca="1">OFFSET('自動車台帳'!C261,'自動車台帳'!$AP261,0)</f>
        <v>#N/A</v>
      </c>
      <c r="B260" s="148" t="e">
        <f ca="1">OFFSET('自動車台帳'!D261,'自動車台帳'!$AP261,0)</f>
        <v>#N/A</v>
      </c>
      <c r="C260" s="148" t="e">
        <f ca="1">OFFSET('自動車台帳'!E261,'自動車台帳'!$AP261,0)</f>
        <v>#N/A</v>
      </c>
      <c r="D260" s="148" t="e">
        <f ca="1">OFFSET('自動車台帳'!F261,'自動車台帳'!$AP261,0)</f>
        <v>#N/A</v>
      </c>
      <c r="E260" s="149" t="e">
        <f ca="1">OFFSET('自動車台帳'!G261,'自動車台帳'!$AP261,0)</f>
        <v>#N/A</v>
      </c>
      <c r="F260" s="150" t="e">
        <f ca="1">OFFSET('自動車台帳'!H261,'自動車台帳'!$AP261,0)</f>
        <v>#N/A</v>
      </c>
      <c r="G260" s="148" t="e">
        <f ca="1">OFFSET('自動車台帳'!I261,'自動車台帳'!$AP261,0)</f>
        <v>#N/A</v>
      </c>
      <c r="H260" s="148" t="e">
        <f ca="1">OFFSET('自動車台帳'!J261,'自動車台帳'!$AP261,0)</f>
        <v>#N/A</v>
      </c>
      <c r="I260" s="149" t="e">
        <f ca="1">OFFSET('自動車台帳'!K261,'自動車台帳'!$AP261,0)</f>
        <v>#N/A</v>
      </c>
      <c r="J260" s="151" t="e">
        <f ca="1">OFFSET('自動車台帳'!L261,'自動車台帳'!$AP261,0)</f>
        <v>#N/A</v>
      </c>
      <c r="K260" s="152" t="e">
        <f ca="1">OFFSET('自動車台帳'!M261,'自動車台帳'!$AP261,0)</f>
        <v>#N/A</v>
      </c>
      <c r="L260" s="152" t="e">
        <f ca="1">OFFSET('自動車台帳'!N261,'自動車台帳'!$AP261,0)</f>
        <v>#N/A</v>
      </c>
      <c r="M260" s="148" t="e">
        <f ca="1">OFFSET('自動車台帳'!AB261,'自動車台帳'!$AP261,0)</f>
        <v>#N/A</v>
      </c>
      <c r="N260" s="148" t="e">
        <f ca="1">OFFSET('自動車台帳'!AC261,'自動車台帳'!$AP261,0)</f>
        <v>#N/A</v>
      </c>
      <c r="O260" s="153" t="e">
        <f ca="1">OFFSET('自動車台帳'!AD261,'自動車台帳'!$AP261,0)</f>
        <v>#N/A</v>
      </c>
      <c r="P260" s="154" t="e">
        <f ca="1">OFFSET('自動車台帳'!AE261,'自動車台帳'!$AP261,0)</f>
        <v>#N/A</v>
      </c>
      <c r="Q260" s="154" t="e">
        <f ca="1">OFFSET('自動車台帳'!AF261,'自動車台帳'!$AP261,0)</f>
        <v>#N/A</v>
      </c>
    </row>
    <row r="261" spans="1:17" ht="13.5">
      <c r="A261" s="148" t="e">
        <f ca="1">OFFSET('自動車台帳'!C262,'自動車台帳'!$AP262,0)</f>
        <v>#N/A</v>
      </c>
      <c r="B261" s="148" t="e">
        <f ca="1">OFFSET('自動車台帳'!D262,'自動車台帳'!$AP262,0)</f>
        <v>#N/A</v>
      </c>
      <c r="C261" s="148" t="e">
        <f ca="1">OFFSET('自動車台帳'!E262,'自動車台帳'!$AP262,0)</f>
        <v>#N/A</v>
      </c>
      <c r="D261" s="148" t="e">
        <f ca="1">OFFSET('自動車台帳'!F262,'自動車台帳'!$AP262,0)</f>
        <v>#N/A</v>
      </c>
      <c r="E261" s="149" t="e">
        <f ca="1">OFFSET('自動車台帳'!G262,'自動車台帳'!$AP262,0)</f>
        <v>#N/A</v>
      </c>
      <c r="F261" s="150" t="e">
        <f ca="1">OFFSET('自動車台帳'!H262,'自動車台帳'!$AP262,0)</f>
        <v>#N/A</v>
      </c>
      <c r="G261" s="148" t="e">
        <f ca="1">OFFSET('自動車台帳'!I262,'自動車台帳'!$AP262,0)</f>
        <v>#N/A</v>
      </c>
      <c r="H261" s="148" t="e">
        <f ca="1">OFFSET('自動車台帳'!J262,'自動車台帳'!$AP262,0)</f>
        <v>#N/A</v>
      </c>
      <c r="I261" s="149" t="e">
        <f ca="1">OFFSET('自動車台帳'!K262,'自動車台帳'!$AP262,0)</f>
        <v>#N/A</v>
      </c>
      <c r="J261" s="151" t="e">
        <f ca="1">OFFSET('自動車台帳'!L262,'自動車台帳'!$AP262,0)</f>
        <v>#N/A</v>
      </c>
      <c r="K261" s="152" t="e">
        <f ca="1">OFFSET('自動車台帳'!M262,'自動車台帳'!$AP262,0)</f>
        <v>#N/A</v>
      </c>
      <c r="L261" s="152" t="e">
        <f ca="1">OFFSET('自動車台帳'!N262,'自動車台帳'!$AP262,0)</f>
        <v>#N/A</v>
      </c>
      <c r="M261" s="148" t="e">
        <f ca="1">OFFSET('自動車台帳'!AB262,'自動車台帳'!$AP262,0)</f>
        <v>#N/A</v>
      </c>
      <c r="N261" s="148" t="e">
        <f ca="1">OFFSET('自動車台帳'!AC262,'自動車台帳'!$AP262,0)</f>
        <v>#N/A</v>
      </c>
      <c r="O261" s="153" t="e">
        <f ca="1">OFFSET('自動車台帳'!AD262,'自動車台帳'!$AP262,0)</f>
        <v>#N/A</v>
      </c>
      <c r="P261" s="154" t="e">
        <f ca="1">OFFSET('自動車台帳'!AE262,'自動車台帳'!$AP262,0)</f>
        <v>#N/A</v>
      </c>
      <c r="Q261" s="154" t="e">
        <f ca="1">OFFSET('自動車台帳'!AF262,'自動車台帳'!$AP262,0)</f>
        <v>#N/A</v>
      </c>
    </row>
    <row r="262" spans="1:17" ht="13.5">
      <c r="A262" s="148" t="e">
        <f ca="1">OFFSET('自動車台帳'!C263,'自動車台帳'!$AP263,0)</f>
        <v>#N/A</v>
      </c>
      <c r="B262" s="148" t="e">
        <f ca="1">OFFSET('自動車台帳'!D263,'自動車台帳'!$AP263,0)</f>
        <v>#N/A</v>
      </c>
      <c r="C262" s="148" t="e">
        <f ca="1">OFFSET('自動車台帳'!E263,'自動車台帳'!$AP263,0)</f>
        <v>#N/A</v>
      </c>
      <c r="D262" s="148" t="e">
        <f ca="1">OFFSET('自動車台帳'!F263,'自動車台帳'!$AP263,0)</f>
        <v>#N/A</v>
      </c>
      <c r="E262" s="149" t="e">
        <f ca="1">OFFSET('自動車台帳'!G263,'自動車台帳'!$AP263,0)</f>
        <v>#N/A</v>
      </c>
      <c r="F262" s="150" t="e">
        <f ca="1">OFFSET('自動車台帳'!H263,'自動車台帳'!$AP263,0)</f>
        <v>#N/A</v>
      </c>
      <c r="G262" s="148" t="e">
        <f ca="1">OFFSET('自動車台帳'!I263,'自動車台帳'!$AP263,0)</f>
        <v>#N/A</v>
      </c>
      <c r="H262" s="148" t="e">
        <f ca="1">OFFSET('自動車台帳'!J263,'自動車台帳'!$AP263,0)</f>
        <v>#N/A</v>
      </c>
      <c r="I262" s="149" t="e">
        <f ca="1">OFFSET('自動車台帳'!K263,'自動車台帳'!$AP263,0)</f>
        <v>#N/A</v>
      </c>
      <c r="J262" s="151" t="e">
        <f ca="1">OFFSET('自動車台帳'!L263,'自動車台帳'!$AP263,0)</f>
        <v>#N/A</v>
      </c>
      <c r="K262" s="152" t="e">
        <f ca="1">OFFSET('自動車台帳'!M263,'自動車台帳'!$AP263,0)</f>
        <v>#N/A</v>
      </c>
      <c r="L262" s="152" t="e">
        <f ca="1">OFFSET('自動車台帳'!N263,'自動車台帳'!$AP263,0)</f>
        <v>#N/A</v>
      </c>
      <c r="M262" s="148" t="e">
        <f ca="1">OFFSET('自動車台帳'!AB263,'自動車台帳'!$AP263,0)</f>
        <v>#N/A</v>
      </c>
      <c r="N262" s="148" t="e">
        <f ca="1">OFFSET('自動車台帳'!AC263,'自動車台帳'!$AP263,0)</f>
        <v>#N/A</v>
      </c>
      <c r="O262" s="153" t="e">
        <f ca="1">OFFSET('自動車台帳'!AD263,'自動車台帳'!$AP263,0)</f>
        <v>#N/A</v>
      </c>
      <c r="P262" s="154" t="e">
        <f ca="1">OFFSET('自動車台帳'!AE263,'自動車台帳'!$AP263,0)</f>
        <v>#N/A</v>
      </c>
      <c r="Q262" s="154" t="e">
        <f ca="1">OFFSET('自動車台帳'!AF263,'自動車台帳'!$AP263,0)</f>
        <v>#N/A</v>
      </c>
    </row>
    <row r="263" spans="1:17" ht="13.5">
      <c r="A263" s="148" t="e">
        <f ca="1">OFFSET('自動車台帳'!C264,'自動車台帳'!$AP264,0)</f>
        <v>#N/A</v>
      </c>
      <c r="B263" s="148" t="e">
        <f ca="1">OFFSET('自動車台帳'!D264,'自動車台帳'!$AP264,0)</f>
        <v>#N/A</v>
      </c>
      <c r="C263" s="148" t="e">
        <f ca="1">OFFSET('自動車台帳'!E264,'自動車台帳'!$AP264,0)</f>
        <v>#N/A</v>
      </c>
      <c r="D263" s="148" t="e">
        <f ca="1">OFFSET('自動車台帳'!F264,'自動車台帳'!$AP264,0)</f>
        <v>#N/A</v>
      </c>
      <c r="E263" s="149" t="e">
        <f ca="1">OFFSET('自動車台帳'!G264,'自動車台帳'!$AP264,0)</f>
        <v>#N/A</v>
      </c>
      <c r="F263" s="150" t="e">
        <f ca="1">OFFSET('自動車台帳'!H264,'自動車台帳'!$AP264,0)</f>
        <v>#N/A</v>
      </c>
      <c r="G263" s="148" t="e">
        <f ca="1">OFFSET('自動車台帳'!I264,'自動車台帳'!$AP264,0)</f>
        <v>#N/A</v>
      </c>
      <c r="H263" s="148" t="e">
        <f ca="1">OFFSET('自動車台帳'!J264,'自動車台帳'!$AP264,0)</f>
        <v>#N/A</v>
      </c>
      <c r="I263" s="149" t="e">
        <f ca="1">OFFSET('自動車台帳'!K264,'自動車台帳'!$AP264,0)</f>
        <v>#N/A</v>
      </c>
      <c r="J263" s="151" t="e">
        <f ca="1">OFFSET('自動車台帳'!L264,'自動車台帳'!$AP264,0)</f>
        <v>#N/A</v>
      </c>
      <c r="K263" s="152" t="e">
        <f ca="1">OFFSET('自動車台帳'!M264,'自動車台帳'!$AP264,0)</f>
        <v>#N/A</v>
      </c>
      <c r="L263" s="152" t="e">
        <f ca="1">OFFSET('自動車台帳'!N264,'自動車台帳'!$AP264,0)</f>
        <v>#N/A</v>
      </c>
      <c r="M263" s="148" t="e">
        <f ca="1">OFFSET('自動車台帳'!AB264,'自動車台帳'!$AP264,0)</f>
        <v>#N/A</v>
      </c>
      <c r="N263" s="148" t="e">
        <f ca="1">OFFSET('自動車台帳'!AC264,'自動車台帳'!$AP264,0)</f>
        <v>#N/A</v>
      </c>
      <c r="O263" s="153" t="e">
        <f ca="1">OFFSET('自動車台帳'!AD264,'自動車台帳'!$AP264,0)</f>
        <v>#N/A</v>
      </c>
      <c r="P263" s="154" t="e">
        <f ca="1">OFFSET('自動車台帳'!AE264,'自動車台帳'!$AP264,0)</f>
        <v>#N/A</v>
      </c>
      <c r="Q263" s="154" t="e">
        <f ca="1">OFFSET('自動車台帳'!AF264,'自動車台帳'!$AP264,0)</f>
        <v>#N/A</v>
      </c>
    </row>
    <row r="264" spans="1:17" ht="13.5">
      <c r="A264" s="148" t="e">
        <f ca="1">OFFSET('自動車台帳'!C265,'自動車台帳'!$AP265,0)</f>
        <v>#N/A</v>
      </c>
      <c r="B264" s="148" t="e">
        <f ca="1">OFFSET('自動車台帳'!D265,'自動車台帳'!$AP265,0)</f>
        <v>#N/A</v>
      </c>
      <c r="C264" s="148" t="e">
        <f ca="1">OFFSET('自動車台帳'!E265,'自動車台帳'!$AP265,0)</f>
        <v>#N/A</v>
      </c>
      <c r="D264" s="148" t="e">
        <f ca="1">OFFSET('自動車台帳'!F265,'自動車台帳'!$AP265,0)</f>
        <v>#N/A</v>
      </c>
      <c r="E264" s="149" t="e">
        <f ca="1">OFFSET('自動車台帳'!G265,'自動車台帳'!$AP265,0)</f>
        <v>#N/A</v>
      </c>
      <c r="F264" s="150" t="e">
        <f ca="1">OFFSET('自動車台帳'!H265,'自動車台帳'!$AP265,0)</f>
        <v>#N/A</v>
      </c>
      <c r="G264" s="148" t="e">
        <f ca="1">OFFSET('自動車台帳'!I265,'自動車台帳'!$AP265,0)</f>
        <v>#N/A</v>
      </c>
      <c r="H264" s="148" t="e">
        <f ca="1">OFFSET('自動車台帳'!J265,'自動車台帳'!$AP265,0)</f>
        <v>#N/A</v>
      </c>
      <c r="I264" s="149" t="e">
        <f ca="1">OFFSET('自動車台帳'!K265,'自動車台帳'!$AP265,0)</f>
        <v>#N/A</v>
      </c>
      <c r="J264" s="151" t="e">
        <f ca="1">OFFSET('自動車台帳'!L265,'自動車台帳'!$AP265,0)</f>
        <v>#N/A</v>
      </c>
      <c r="K264" s="152" t="e">
        <f ca="1">OFFSET('自動車台帳'!M265,'自動車台帳'!$AP265,0)</f>
        <v>#N/A</v>
      </c>
      <c r="L264" s="152" t="e">
        <f ca="1">OFFSET('自動車台帳'!N265,'自動車台帳'!$AP265,0)</f>
        <v>#N/A</v>
      </c>
      <c r="M264" s="148" t="e">
        <f ca="1">OFFSET('自動車台帳'!AB265,'自動車台帳'!$AP265,0)</f>
        <v>#N/A</v>
      </c>
      <c r="N264" s="148" t="e">
        <f ca="1">OFFSET('自動車台帳'!AC265,'自動車台帳'!$AP265,0)</f>
        <v>#N/A</v>
      </c>
      <c r="O264" s="153" t="e">
        <f ca="1">OFFSET('自動車台帳'!AD265,'自動車台帳'!$AP265,0)</f>
        <v>#N/A</v>
      </c>
      <c r="P264" s="154" t="e">
        <f ca="1">OFFSET('自動車台帳'!AE265,'自動車台帳'!$AP265,0)</f>
        <v>#N/A</v>
      </c>
      <c r="Q264" s="154" t="e">
        <f ca="1">OFFSET('自動車台帳'!AF265,'自動車台帳'!$AP265,0)</f>
        <v>#N/A</v>
      </c>
    </row>
    <row r="265" spans="1:17" ht="13.5">
      <c r="A265" s="148" t="e">
        <f ca="1">OFFSET('自動車台帳'!C266,'自動車台帳'!$AP266,0)</f>
        <v>#N/A</v>
      </c>
      <c r="B265" s="148" t="e">
        <f ca="1">OFFSET('自動車台帳'!D266,'自動車台帳'!$AP266,0)</f>
        <v>#N/A</v>
      </c>
      <c r="C265" s="148" t="e">
        <f ca="1">OFFSET('自動車台帳'!E266,'自動車台帳'!$AP266,0)</f>
        <v>#N/A</v>
      </c>
      <c r="D265" s="148" t="e">
        <f ca="1">OFFSET('自動車台帳'!F266,'自動車台帳'!$AP266,0)</f>
        <v>#N/A</v>
      </c>
      <c r="E265" s="149" t="e">
        <f ca="1">OFFSET('自動車台帳'!G266,'自動車台帳'!$AP266,0)</f>
        <v>#N/A</v>
      </c>
      <c r="F265" s="150" t="e">
        <f ca="1">OFFSET('自動車台帳'!H266,'自動車台帳'!$AP266,0)</f>
        <v>#N/A</v>
      </c>
      <c r="G265" s="148" t="e">
        <f ca="1">OFFSET('自動車台帳'!I266,'自動車台帳'!$AP266,0)</f>
        <v>#N/A</v>
      </c>
      <c r="H265" s="148" t="e">
        <f ca="1">OFFSET('自動車台帳'!J266,'自動車台帳'!$AP266,0)</f>
        <v>#N/A</v>
      </c>
      <c r="I265" s="149" t="e">
        <f ca="1">OFFSET('自動車台帳'!K266,'自動車台帳'!$AP266,0)</f>
        <v>#N/A</v>
      </c>
      <c r="J265" s="151" t="e">
        <f ca="1">OFFSET('自動車台帳'!L266,'自動車台帳'!$AP266,0)</f>
        <v>#N/A</v>
      </c>
      <c r="K265" s="152" t="e">
        <f ca="1">OFFSET('自動車台帳'!M266,'自動車台帳'!$AP266,0)</f>
        <v>#N/A</v>
      </c>
      <c r="L265" s="152" t="e">
        <f ca="1">OFFSET('自動車台帳'!N266,'自動車台帳'!$AP266,0)</f>
        <v>#N/A</v>
      </c>
      <c r="M265" s="148" t="e">
        <f ca="1">OFFSET('自動車台帳'!AB266,'自動車台帳'!$AP266,0)</f>
        <v>#N/A</v>
      </c>
      <c r="N265" s="148" t="e">
        <f ca="1">OFFSET('自動車台帳'!AC266,'自動車台帳'!$AP266,0)</f>
        <v>#N/A</v>
      </c>
      <c r="O265" s="153" t="e">
        <f ca="1">OFFSET('自動車台帳'!AD266,'自動車台帳'!$AP266,0)</f>
        <v>#N/A</v>
      </c>
      <c r="P265" s="154" t="e">
        <f ca="1">OFFSET('自動車台帳'!AE266,'自動車台帳'!$AP266,0)</f>
        <v>#N/A</v>
      </c>
      <c r="Q265" s="154" t="e">
        <f ca="1">OFFSET('自動車台帳'!AF266,'自動車台帳'!$AP266,0)</f>
        <v>#N/A</v>
      </c>
    </row>
    <row r="266" spans="1:17" ht="13.5">
      <c r="A266" s="148" t="e">
        <f ca="1">OFFSET('自動車台帳'!C267,'自動車台帳'!$AP267,0)</f>
        <v>#N/A</v>
      </c>
      <c r="B266" s="148" t="e">
        <f ca="1">OFFSET('自動車台帳'!D267,'自動車台帳'!$AP267,0)</f>
        <v>#N/A</v>
      </c>
      <c r="C266" s="148" t="e">
        <f ca="1">OFFSET('自動車台帳'!E267,'自動車台帳'!$AP267,0)</f>
        <v>#N/A</v>
      </c>
      <c r="D266" s="148" t="e">
        <f ca="1">OFFSET('自動車台帳'!F267,'自動車台帳'!$AP267,0)</f>
        <v>#N/A</v>
      </c>
      <c r="E266" s="149" t="e">
        <f ca="1">OFFSET('自動車台帳'!G267,'自動車台帳'!$AP267,0)</f>
        <v>#N/A</v>
      </c>
      <c r="F266" s="150" t="e">
        <f ca="1">OFFSET('自動車台帳'!H267,'自動車台帳'!$AP267,0)</f>
        <v>#N/A</v>
      </c>
      <c r="G266" s="148" t="e">
        <f ca="1">OFFSET('自動車台帳'!I267,'自動車台帳'!$AP267,0)</f>
        <v>#N/A</v>
      </c>
      <c r="H266" s="148" t="e">
        <f ca="1">OFFSET('自動車台帳'!J267,'自動車台帳'!$AP267,0)</f>
        <v>#N/A</v>
      </c>
      <c r="I266" s="149" t="e">
        <f ca="1">OFFSET('自動車台帳'!K267,'自動車台帳'!$AP267,0)</f>
        <v>#N/A</v>
      </c>
      <c r="J266" s="151" t="e">
        <f ca="1">OFFSET('自動車台帳'!L267,'自動車台帳'!$AP267,0)</f>
        <v>#N/A</v>
      </c>
      <c r="K266" s="152" t="e">
        <f ca="1">OFFSET('自動車台帳'!M267,'自動車台帳'!$AP267,0)</f>
        <v>#N/A</v>
      </c>
      <c r="L266" s="152" t="e">
        <f ca="1">OFFSET('自動車台帳'!N267,'自動車台帳'!$AP267,0)</f>
        <v>#N/A</v>
      </c>
      <c r="M266" s="148" t="e">
        <f ca="1">OFFSET('自動車台帳'!AB267,'自動車台帳'!$AP267,0)</f>
        <v>#N/A</v>
      </c>
      <c r="N266" s="148" t="e">
        <f ca="1">OFFSET('自動車台帳'!AC267,'自動車台帳'!$AP267,0)</f>
        <v>#N/A</v>
      </c>
      <c r="O266" s="153" t="e">
        <f ca="1">OFFSET('自動車台帳'!AD267,'自動車台帳'!$AP267,0)</f>
        <v>#N/A</v>
      </c>
      <c r="P266" s="154" t="e">
        <f ca="1">OFFSET('自動車台帳'!AE267,'自動車台帳'!$AP267,0)</f>
        <v>#N/A</v>
      </c>
      <c r="Q266" s="154" t="e">
        <f ca="1">OFFSET('自動車台帳'!AF267,'自動車台帳'!$AP267,0)</f>
        <v>#N/A</v>
      </c>
    </row>
    <row r="267" spans="1:17" ht="13.5">
      <c r="A267" s="148" t="e">
        <f ca="1">OFFSET('自動車台帳'!C268,'自動車台帳'!$AP268,0)</f>
        <v>#N/A</v>
      </c>
      <c r="B267" s="148" t="e">
        <f ca="1">OFFSET('自動車台帳'!D268,'自動車台帳'!$AP268,0)</f>
        <v>#N/A</v>
      </c>
      <c r="C267" s="148" t="e">
        <f ca="1">OFFSET('自動車台帳'!E268,'自動車台帳'!$AP268,0)</f>
        <v>#N/A</v>
      </c>
      <c r="D267" s="148" t="e">
        <f ca="1">OFFSET('自動車台帳'!F268,'自動車台帳'!$AP268,0)</f>
        <v>#N/A</v>
      </c>
      <c r="E267" s="149" t="e">
        <f ca="1">OFFSET('自動車台帳'!G268,'自動車台帳'!$AP268,0)</f>
        <v>#N/A</v>
      </c>
      <c r="F267" s="150" t="e">
        <f ca="1">OFFSET('自動車台帳'!H268,'自動車台帳'!$AP268,0)</f>
        <v>#N/A</v>
      </c>
      <c r="G267" s="148" t="e">
        <f ca="1">OFFSET('自動車台帳'!I268,'自動車台帳'!$AP268,0)</f>
        <v>#N/A</v>
      </c>
      <c r="H267" s="148" t="e">
        <f ca="1">OFFSET('自動車台帳'!J268,'自動車台帳'!$AP268,0)</f>
        <v>#N/A</v>
      </c>
      <c r="I267" s="149" t="e">
        <f ca="1">OFFSET('自動車台帳'!K268,'自動車台帳'!$AP268,0)</f>
        <v>#N/A</v>
      </c>
      <c r="J267" s="151" t="e">
        <f ca="1">OFFSET('自動車台帳'!L268,'自動車台帳'!$AP268,0)</f>
        <v>#N/A</v>
      </c>
      <c r="K267" s="152" t="e">
        <f ca="1">OFFSET('自動車台帳'!M268,'自動車台帳'!$AP268,0)</f>
        <v>#N/A</v>
      </c>
      <c r="L267" s="152" t="e">
        <f ca="1">OFFSET('自動車台帳'!N268,'自動車台帳'!$AP268,0)</f>
        <v>#N/A</v>
      </c>
      <c r="M267" s="148" t="e">
        <f ca="1">OFFSET('自動車台帳'!AB268,'自動車台帳'!$AP268,0)</f>
        <v>#N/A</v>
      </c>
      <c r="N267" s="148" t="e">
        <f ca="1">OFFSET('自動車台帳'!AC268,'自動車台帳'!$AP268,0)</f>
        <v>#N/A</v>
      </c>
      <c r="O267" s="153" t="e">
        <f ca="1">OFFSET('自動車台帳'!AD268,'自動車台帳'!$AP268,0)</f>
        <v>#N/A</v>
      </c>
      <c r="P267" s="154" t="e">
        <f ca="1">OFFSET('自動車台帳'!AE268,'自動車台帳'!$AP268,0)</f>
        <v>#N/A</v>
      </c>
      <c r="Q267" s="154" t="e">
        <f ca="1">OFFSET('自動車台帳'!AF268,'自動車台帳'!$AP268,0)</f>
        <v>#N/A</v>
      </c>
    </row>
    <row r="268" spans="1:17" ht="13.5">
      <c r="A268" s="148" t="e">
        <f ca="1">OFFSET('自動車台帳'!C269,'自動車台帳'!$AP269,0)</f>
        <v>#N/A</v>
      </c>
      <c r="B268" s="148" t="e">
        <f ca="1">OFFSET('自動車台帳'!D269,'自動車台帳'!$AP269,0)</f>
        <v>#N/A</v>
      </c>
      <c r="C268" s="148" t="e">
        <f ca="1">OFFSET('自動車台帳'!E269,'自動車台帳'!$AP269,0)</f>
        <v>#N/A</v>
      </c>
      <c r="D268" s="148" t="e">
        <f ca="1">OFFSET('自動車台帳'!F269,'自動車台帳'!$AP269,0)</f>
        <v>#N/A</v>
      </c>
      <c r="E268" s="149" t="e">
        <f ca="1">OFFSET('自動車台帳'!G269,'自動車台帳'!$AP269,0)</f>
        <v>#N/A</v>
      </c>
      <c r="F268" s="150" t="e">
        <f ca="1">OFFSET('自動車台帳'!H269,'自動車台帳'!$AP269,0)</f>
        <v>#N/A</v>
      </c>
      <c r="G268" s="148" t="e">
        <f ca="1">OFFSET('自動車台帳'!I269,'自動車台帳'!$AP269,0)</f>
        <v>#N/A</v>
      </c>
      <c r="H268" s="148" t="e">
        <f ca="1">OFFSET('自動車台帳'!J269,'自動車台帳'!$AP269,0)</f>
        <v>#N/A</v>
      </c>
      <c r="I268" s="149" t="e">
        <f ca="1">OFFSET('自動車台帳'!K269,'自動車台帳'!$AP269,0)</f>
        <v>#N/A</v>
      </c>
      <c r="J268" s="151" t="e">
        <f ca="1">OFFSET('自動車台帳'!L269,'自動車台帳'!$AP269,0)</f>
        <v>#N/A</v>
      </c>
      <c r="K268" s="152" t="e">
        <f ca="1">OFFSET('自動車台帳'!M269,'自動車台帳'!$AP269,0)</f>
        <v>#N/A</v>
      </c>
      <c r="L268" s="152" t="e">
        <f ca="1">OFFSET('自動車台帳'!N269,'自動車台帳'!$AP269,0)</f>
        <v>#N/A</v>
      </c>
      <c r="M268" s="148" t="e">
        <f ca="1">OFFSET('自動車台帳'!AB269,'自動車台帳'!$AP269,0)</f>
        <v>#N/A</v>
      </c>
      <c r="N268" s="148" t="e">
        <f ca="1">OFFSET('自動車台帳'!AC269,'自動車台帳'!$AP269,0)</f>
        <v>#N/A</v>
      </c>
      <c r="O268" s="153" t="e">
        <f ca="1">OFFSET('自動車台帳'!AD269,'自動車台帳'!$AP269,0)</f>
        <v>#N/A</v>
      </c>
      <c r="P268" s="154" t="e">
        <f ca="1">OFFSET('自動車台帳'!AE269,'自動車台帳'!$AP269,0)</f>
        <v>#N/A</v>
      </c>
      <c r="Q268" s="154" t="e">
        <f ca="1">OFFSET('自動車台帳'!AF269,'自動車台帳'!$AP269,0)</f>
        <v>#N/A</v>
      </c>
    </row>
    <row r="269" spans="1:17" ht="13.5">
      <c r="A269" s="148" t="e">
        <f ca="1">OFFSET('自動車台帳'!C270,'自動車台帳'!$AP270,0)</f>
        <v>#N/A</v>
      </c>
      <c r="B269" s="148" t="e">
        <f ca="1">OFFSET('自動車台帳'!D270,'自動車台帳'!$AP270,0)</f>
        <v>#N/A</v>
      </c>
      <c r="C269" s="148" t="e">
        <f ca="1">OFFSET('自動車台帳'!E270,'自動車台帳'!$AP270,0)</f>
        <v>#N/A</v>
      </c>
      <c r="D269" s="148" t="e">
        <f ca="1">OFFSET('自動車台帳'!F270,'自動車台帳'!$AP270,0)</f>
        <v>#N/A</v>
      </c>
      <c r="E269" s="149" t="e">
        <f ca="1">OFFSET('自動車台帳'!G270,'自動車台帳'!$AP270,0)</f>
        <v>#N/A</v>
      </c>
      <c r="F269" s="150" t="e">
        <f ca="1">OFFSET('自動車台帳'!H270,'自動車台帳'!$AP270,0)</f>
        <v>#N/A</v>
      </c>
      <c r="G269" s="148" t="e">
        <f ca="1">OFFSET('自動車台帳'!I270,'自動車台帳'!$AP270,0)</f>
        <v>#N/A</v>
      </c>
      <c r="H269" s="148" t="e">
        <f ca="1">OFFSET('自動車台帳'!J270,'自動車台帳'!$AP270,0)</f>
        <v>#N/A</v>
      </c>
      <c r="I269" s="149" t="e">
        <f ca="1">OFFSET('自動車台帳'!K270,'自動車台帳'!$AP270,0)</f>
        <v>#N/A</v>
      </c>
      <c r="J269" s="151" t="e">
        <f ca="1">OFFSET('自動車台帳'!L270,'自動車台帳'!$AP270,0)</f>
        <v>#N/A</v>
      </c>
      <c r="K269" s="152" t="e">
        <f ca="1">OFFSET('自動車台帳'!M270,'自動車台帳'!$AP270,0)</f>
        <v>#N/A</v>
      </c>
      <c r="L269" s="152" t="e">
        <f ca="1">OFFSET('自動車台帳'!N270,'自動車台帳'!$AP270,0)</f>
        <v>#N/A</v>
      </c>
      <c r="M269" s="148" t="e">
        <f ca="1">OFFSET('自動車台帳'!AB270,'自動車台帳'!$AP270,0)</f>
        <v>#N/A</v>
      </c>
      <c r="N269" s="148" t="e">
        <f ca="1">OFFSET('自動車台帳'!AC270,'自動車台帳'!$AP270,0)</f>
        <v>#N/A</v>
      </c>
      <c r="O269" s="153" t="e">
        <f ca="1">OFFSET('自動車台帳'!AD270,'自動車台帳'!$AP270,0)</f>
        <v>#N/A</v>
      </c>
      <c r="P269" s="154" t="e">
        <f ca="1">OFFSET('自動車台帳'!AE270,'自動車台帳'!$AP270,0)</f>
        <v>#N/A</v>
      </c>
      <c r="Q269" s="154" t="e">
        <f ca="1">OFFSET('自動車台帳'!AF270,'自動車台帳'!$AP270,0)</f>
        <v>#N/A</v>
      </c>
    </row>
    <row r="270" spans="1:17" ht="13.5">
      <c r="A270" s="148" t="e">
        <f ca="1">OFFSET('自動車台帳'!C271,'自動車台帳'!$AP271,0)</f>
        <v>#N/A</v>
      </c>
      <c r="B270" s="148" t="e">
        <f ca="1">OFFSET('自動車台帳'!D271,'自動車台帳'!$AP271,0)</f>
        <v>#N/A</v>
      </c>
      <c r="C270" s="148" t="e">
        <f ca="1">OFFSET('自動車台帳'!E271,'自動車台帳'!$AP271,0)</f>
        <v>#N/A</v>
      </c>
      <c r="D270" s="148" t="e">
        <f ca="1">OFFSET('自動車台帳'!F271,'自動車台帳'!$AP271,0)</f>
        <v>#N/A</v>
      </c>
      <c r="E270" s="149" t="e">
        <f ca="1">OFFSET('自動車台帳'!G271,'自動車台帳'!$AP271,0)</f>
        <v>#N/A</v>
      </c>
      <c r="F270" s="150" t="e">
        <f ca="1">OFFSET('自動車台帳'!H271,'自動車台帳'!$AP271,0)</f>
        <v>#N/A</v>
      </c>
      <c r="G270" s="148" t="e">
        <f ca="1">OFFSET('自動車台帳'!I271,'自動車台帳'!$AP271,0)</f>
        <v>#N/A</v>
      </c>
      <c r="H270" s="148" t="e">
        <f ca="1">OFFSET('自動車台帳'!J271,'自動車台帳'!$AP271,0)</f>
        <v>#N/A</v>
      </c>
      <c r="I270" s="149" t="e">
        <f ca="1">OFFSET('自動車台帳'!K271,'自動車台帳'!$AP271,0)</f>
        <v>#N/A</v>
      </c>
      <c r="J270" s="151" t="e">
        <f ca="1">OFFSET('自動車台帳'!L271,'自動車台帳'!$AP271,0)</f>
        <v>#N/A</v>
      </c>
      <c r="K270" s="152" t="e">
        <f ca="1">OFFSET('自動車台帳'!M271,'自動車台帳'!$AP271,0)</f>
        <v>#N/A</v>
      </c>
      <c r="L270" s="152" t="e">
        <f ca="1">OFFSET('自動車台帳'!N271,'自動車台帳'!$AP271,0)</f>
        <v>#N/A</v>
      </c>
      <c r="M270" s="148" t="e">
        <f ca="1">OFFSET('自動車台帳'!AB271,'自動車台帳'!$AP271,0)</f>
        <v>#N/A</v>
      </c>
      <c r="N270" s="148" t="e">
        <f ca="1">OFFSET('自動車台帳'!AC271,'自動車台帳'!$AP271,0)</f>
        <v>#N/A</v>
      </c>
      <c r="O270" s="153" t="e">
        <f ca="1">OFFSET('自動車台帳'!AD271,'自動車台帳'!$AP271,0)</f>
        <v>#N/A</v>
      </c>
      <c r="P270" s="154" t="e">
        <f ca="1">OFFSET('自動車台帳'!AE271,'自動車台帳'!$AP271,0)</f>
        <v>#N/A</v>
      </c>
      <c r="Q270" s="154" t="e">
        <f ca="1">OFFSET('自動車台帳'!AF271,'自動車台帳'!$AP271,0)</f>
        <v>#N/A</v>
      </c>
    </row>
    <row r="271" spans="1:17" ht="13.5">
      <c r="A271" s="148" t="e">
        <f ca="1">OFFSET('自動車台帳'!C272,'自動車台帳'!$AP272,0)</f>
        <v>#N/A</v>
      </c>
      <c r="B271" s="148" t="e">
        <f ca="1">OFFSET('自動車台帳'!D272,'自動車台帳'!$AP272,0)</f>
        <v>#N/A</v>
      </c>
      <c r="C271" s="148" t="e">
        <f ca="1">OFFSET('自動車台帳'!E272,'自動車台帳'!$AP272,0)</f>
        <v>#N/A</v>
      </c>
      <c r="D271" s="148" t="e">
        <f ca="1">OFFSET('自動車台帳'!F272,'自動車台帳'!$AP272,0)</f>
        <v>#N/A</v>
      </c>
      <c r="E271" s="149" t="e">
        <f ca="1">OFFSET('自動車台帳'!G272,'自動車台帳'!$AP272,0)</f>
        <v>#N/A</v>
      </c>
      <c r="F271" s="150" t="e">
        <f ca="1">OFFSET('自動車台帳'!H272,'自動車台帳'!$AP272,0)</f>
        <v>#N/A</v>
      </c>
      <c r="G271" s="148" t="e">
        <f ca="1">OFFSET('自動車台帳'!I272,'自動車台帳'!$AP272,0)</f>
        <v>#N/A</v>
      </c>
      <c r="H271" s="148" t="e">
        <f ca="1">OFFSET('自動車台帳'!J272,'自動車台帳'!$AP272,0)</f>
        <v>#N/A</v>
      </c>
      <c r="I271" s="149" t="e">
        <f ca="1">OFFSET('自動車台帳'!K272,'自動車台帳'!$AP272,0)</f>
        <v>#N/A</v>
      </c>
      <c r="J271" s="151" t="e">
        <f ca="1">OFFSET('自動車台帳'!L272,'自動車台帳'!$AP272,0)</f>
        <v>#N/A</v>
      </c>
      <c r="K271" s="152" t="e">
        <f ca="1">OFFSET('自動車台帳'!M272,'自動車台帳'!$AP272,0)</f>
        <v>#N/A</v>
      </c>
      <c r="L271" s="152" t="e">
        <f ca="1">OFFSET('自動車台帳'!N272,'自動車台帳'!$AP272,0)</f>
        <v>#N/A</v>
      </c>
      <c r="M271" s="148" t="e">
        <f ca="1">OFFSET('自動車台帳'!AB272,'自動車台帳'!$AP272,0)</f>
        <v>#N/A</v>
      </c>
      <c r="N271" s="148" t="e">
        <f ca="1">OFFSET('自動車台帳'!AC272,'自動車台帳'!$AP272,0)</f>
        <v>#N/A</v>
      </c>
      <c r="O271" s="153" t="e">
        <f ca="1">OFFSET('自動車台帳'!AD272,'自動車台帳'!$AP272,0)</f>
        <v>#N/A</v>
      </c>
      <c r="P271" s="154" t="e">
        <f ca="1">OFFSET('自動車台帳'!AE272,'自動車台帳'!$AP272,0)</f>
        <v>#N/A</v>
      </c>
      <c r="Q271" s="154" t="e">
        <f ca="1">OFFSET('自動車台帳'!AF272,'自動車台帳'!$AP272,0)</f>
        <v>#N/A</v>
      </c>
    </row>
    <row r="272" spans="1:17" ht="13.5">
      <c r="A272" s="148" t="e">
        <f ca="1">OFFSET('自動車台帳'!C273,'自動車台帳'!$AP273,0)</f>
        <v>#N/A</v>
      </c>
      <c r="B272" s="148" t="e">
        <f ca="1">OFFSET('自動車台帳'!D273,'自動車台帳'!$AP273,0)</f>
        <v>#N/A</v>
      </c>
      <c r="C272" s="148" t="e">
        <f ca="1">OFFSET('自動車台帳'!E273,'自動車台帳'!$AP273,0)</f>
        <v>#N/A</v>
      </c>
      <c r="D272" s="148" t="e">
        <f ca="1">OFFSET('自動車台帳'!F273,'自動車台帳'!$AP273,0)</f>
        <v>#N/A</v>
      </c>
      <c r="E272" s="149" t="e">
        <f ca="1">OFFSET('自動車台帳'!G273,'自動車台帳'!$AP273,0)</f>
        <v>#N/A</v>
      </c>
      <c r="F272" s="150" t="e">
        <f ca="1">OFFSET('自動車台帳'!H273,'自動車台帳'!$AP273,0)</f>
        <v>#N/A</v>
      </c>
      <c r="G272" s="148" t="e">
        <f ca="1">OFFSET('自動車台帳'!I273,'自動車台帳'!$AP273,0)</f>
        <v>#N/A</v>
      </c>
      <c r="H272" s="148" t="e">
        <f ca="1">OFFSET('自動車台帳'!J273,'自動車台帳'!$AP273,0)</f>
        <v>#N/A</v>
      </c>
      <c r="I272" s="149" t="e">
        <f ca="1">OFFSET('自動車台帳'!K273,'自動車台帳'!$AP273,0)</f>
        <v>#N/A</v>
      </c>
      <c r="J272" s="151" t="e">
        <f ca="1">OFFSET('自動車台帳'!L273,'自動車台帳'!$AP273,0)</f>
        <v>#N/A</v>
      </c>
      <c r="K272" s="152" t="e">
        <f ca="1">OFFSET('自動車台帳'!M273,'自動車台帳'!$AP273,0)</f>
        <v>#N/A</v>
      </c>
      <c r="L272" s="152" t="e">
        <f ca="1">OFFSET('自動車台帳'!N273,'自動車台帳'!$AP273,0)</f>
        <v>#N/A</v>
      </c>
      <c r="M272" s="148" t="e">
        <f ca="1">OFFSET('自動車台帳'!AB273,'自動車台帳'!$AP273,0)</f>
        <v>#N/A</v>
      </c>
      <c r="N272" s="148" t="e">
        <f ca="1">OFFSET('自動車台帳'!AC273,'自動車台帳'!$AP273,0)</f>
        <v>#N/A</v>
      </c>
      <c r="O272" s="153" t="e">
        <f ca="1">OFFSET('自動車台帳'!AD273,'自動車台帳'!$AP273,0)</f>
        <v>#N/A</v>
      </c>
      <c r="P272" s="154" t="e">
        <f ca="1">OFFSET('自動車台帳'!AE273,'自動車台帳'!$AP273,0)</f>
        <v>#N/A</v>
      </c>
      <c r="Q272" s="154" t="e">
        <f ca="1">OFFSET('自動車台帳'!AF273,'自動車台帳'!$AP273,0)</f>
        <v>#N/A</v>
      </c>
    </row>
    <row r="273" spans="1:17" ht="13.5">
      <c r="A273" s="148" t="e">
        <f ca="1">OFFSET('自動車台帳'!C274,'自動車台帳'!$AP274,0)</f>
        <v>#N/A</v>
      </c>
      <c r="B273" s="148" t="e">
        <f ca="1">OFFSET('自動車台帳'!D274,'自動車台帳'!$AP274,0)</f>
        <v>#N/A</v>
      </c>
      <c r="C273" s="148" t="e">
        <f ca="1">OFFSET('自動車台帳'!E274,'自動車台帳'!$AP274,0)</f>
        <v>#N/A</v>
      </c>
      <c r="D273" s="148" t="e">
        <f ca="1">OFFSET('自動車台帳'!F274,'自動車台帳'!$AP274,0)</f>
        <v>#N/A</v>
      </c>
      <c r="E273" s="149" t="e">
        <f ca="1">OFFSET('自動車台帳'!G274,'自動車台帳'!$AP274,0)</f>
        <v>#N/A</v>
      </c>
      <c r="F273" s="150" t="e">
        <f ca="1">OFFSET('自動車台帳'!H274,'自動車台帳'!$AP274,0)</f>
        <v>#N/A</v>
      </c>
      <c r="G273" s="148" t="e">
        <f ca="1">OFFSET('自動車台帳'!I274,'自動車台帳'!$AP274,0)</f>
        <v>#N/A</v>
      </c>
      <c r="H273" s="148" t="e">
        <f ca="1">OFFSET('自動車台帳'!J274,'自動車台帳'!$AP274,0)</f>
        <v>#N/A</v>
      </c>
      <c r="I273" s="149" t="e">
        <f ca="1">OFFSET('自動車台帳'!K274,'自動車台帳'!$AP274,0)</f>
        <v>#N/A</v>
      </c>
      <c r="J273" s="151" t="e">
        <f ca="1">OFFSET('自動車台帳'!L274,'自動車台帳'!$AP274,0)</f>
        <v>#N/A</v>
      </c>
      <c r="K273" s="152" t="e">
        <f ca="1">OFFSET('自動車台帳'!M274,'自動車台帳'!$AP274,0)</f>
        <v>#N/A</v>
      </c>
      <c r="L273" s="152" t="e">
        <f ca="1">OFFSET('自動車台帳'!N274,'自動車台帳'!$AP274,0)</f>
        <v>#N/A</v>
      </c>
      <c r="M273" s="148" t="e">
        <f ca="1">OFFSET('自動車台帳'!AB274,'自動車台帳'!$AP274,0)</f>
        <v>#N/A</v>
      </c>
      <c r="N273" s="148" t="e">
        <f ca="1">OFFSET('自動車台帳'!AC274,'自動車台帳'!$AP274,0)</f>
        <v>#N/A</v>
      </c>
      <c r="O273" s="153" t="e">
        <f ca="1">OFFSET('自動車台帳'!AD274,'自動車台帳'!$AP274,0)</f>
        <v>#N/A</v>
      </c>
      <c r="P273" s="154" t="e">
        <f ca="1">OFFSET('自動車台帳'!AE274,'自動車台帳'!$AP274,0)</f>
        <v>#N/A</v>
      </c>
      <c r="Q273" s="154" t="e">
        <f ca="1">OFFSET('自動車台帳'!AF274,'自動車台帳'!$AP274,0)</f>
        <v>#N/A</v>
      </c>
    </row>
    <row r="274" spans="1:17" ht="13.5">
      <c r="A274" s="148" t="e">
        <f ca="1">OFFSET('自動車台帳'!C275,'自動車台帳'!$AP275,0)</f>
        <v>#N/A</v>
      </c>
      <c r="B274" s="148" t="e">
        <f ca="1">OFFSET('自動車台帳'!D275,'自動車台帳'!$AP275,0)</f>
        <v>#N/A</v>
      </c>
      <c r="C274" s="148" t="e">
        <f ca="1">OFFSET('自動車台帳'!E275,'自動車台帳'!$AP275,0)</f>
        <v>#N/A</v>
      </c>
      <c r="D274" s="148" t="e">
        <f ca="1">OFFSET('自動車台帳'!F275,'自動車台帳'!$AP275,0)</f>
        <v>#N/A</v>
      </c>
      <c r="E274" s="149" t="e">
        <f ca="1">OFFSET('自動車台帳'!G275,'自動車台帳'!$AP275,0)</f>
        <v>#N/A</v>
      </c>
      <c r="F274" s="150" t="e">
        <f ca="1">OFFSET('自動車台帳'!H275,'自動車台帳'!$AP275,0)</f>
        <v>#N/A</v>
      </c>
      <c r="G274" s="148" t="e">
        <f ca="1">OFFSET('自動車台帳'!I275,'自動車台帳'!$AP275,0)</f>
        <v>#N/A</v>
      </c>
      <c r="H274" s="148" t="e">
        <f ca="1">OFFSET('自動車台帳'!J275,'自動車台帳'!$AP275,0)</f>
        <v>#N/A</v>
      </c>
      <c r="I274" s="149" t="e">
        <f ca="1">OFFSET('自動車台帳'!K275,'自動車台帳'!$AP275,0)</f>
        <v>#N/A</v>
      </c>
      <c r="J274" s="151" t="e">
        <f ca="1">OFFSET('自動車台帳'!L275,'自動車台帳'!$AP275,0)</f>
        <v>#N/A</v>
      </c>
      <c r="K274" s="152" t="e">
        <f ca="1">OFFSET('自動車台帳'!M275,'自動車台帳'!$AP275,0)</f>
        <v>#N/A</v>
      </c>
      <c r="L274" s="152" t="e">
        <f ca="1">OFFSET('自動車台帳'!N275,'自動車台帳'!$AP275,0)</f>
        <v>#N/A</v>
      </c>
      <c r="M274" s="148" t="e">
        <f ca="1">OFFSET('自動車台帳'!AB275,'自動車台帳'!$AP275,0)</f>
        <v>#N/A</v>
      </c>
      <c r="N274" s="148" t="e">
        <f ca="1">OFFSET('自動車台帳'!AC275,'自動車台帳'!$AP275,0)</f>
        <v>#N/A</v>
      </c>
      <c r="O274" s="153" t="e">
        <f ca="1">OFFSET('自動車台帳'!AD275,'自動車台帳'!$AP275,0)</f>
        <v>#N/A</v>
      </c>
      <c r="P274" s="154" t="e">
        <f ca="1">OFFSET('自動車台帳'!AE275,'自動車台帳'!$AP275,0)</f>
        <v>#N/A</v>
      </c>
      <c r="Q274" s="154" t="e">
        <f ca="1">OFFSET('自動車台帳'!AF275,'自動車台帳'!$AP275,0)</f>
        <v>#N/A</v>
      </c>
    </row>
    <row r="275" spans="1:17" ht="13.5">
      <c r="A275" s="148" t="e">
        <f ca="1">OFFSET('自動車台帳'!C276,'自動車台帳'!$AP276,0)</f>
        <v>#N/A</v>
      </c>
      <c r="B275" s="148" t="e">
        <f ca="1">OFFSET('自動車台帳'!D276,'自動車台帳'!$AP276,0)</f>
        <v>#N/A</v>
      </c>
      <c r="C275" s="148" t="e">
        <f ca="1">OFFSET('自動車台帳'!E276,'自動車台帳'!$AP276,0)</f>
        <v>#N/A</v>
      </c>
      <c r="D275" s="148" t="e">
        <f ca="1">OFFSET('自動車台帳'!F276,'自動車台帳'!$AP276,0)</f>
        <v>#N/A</v>
      </c>
      <c r="E275" s="149" t="e">
        <f ca="1">OFFSET('自動車台帳'!G276,'自動車台帳'!$AP276,0)</f>
        <v>#N/A</v>
      </c>
      <c r="F275" s="150" t="e">
        <f ca="1">OFFSET('自動車台帳'!H276,'自動車台帳'!$AP276,0)</f>
        <v>#N/A</v>
      </c>
      <c r="G275" s="148" t="e">
        <f ca="1">OFFSET('自動車台帳'!I276,'自動車台帳'!$AP276,0)</f>
        <v>#N/A</v>
      </c>
      <c r="H275" s="148" t="e">
        <f ca="1">OFFSET('自動車台帳'!J276,'自動車台帳'!$AP276,0)</f>
        <v>#N/A</v>
      </c>
      <c r="I275" s="149" t="e">
        <f ca="1">OFFSET('自動車台帳'!K276,'自動車台帳'!$AP276,0)</f>
        <v>#N/A</v>
      </c>
      <c r="J275" s="151" t="e">
        <f ca="1">OFFSET('自動車台帳'!L276,'自動車台帳'!$AP276,0)</f>
        <v>#N/A</v>
      </c>
      <c r="K275" s="152" t="e">
        <f ca="1">OFFSET('自動車台帳'!M276,'自動車台帳'!$AP276,0)</f>
        <v>#N/A</v>
      </c>
      <c r="L275" s="152" t="e">
        <f ca="1">OFFSET('自動車台帳'!N276,'自動車台帳'!$AP276,0)</f>
        <v>#N/A</v>
      </c>
      <c r="M275" s="148" t="e">
        <f ca="1">OFFSET('自動車台帳'!AB276,'自動車台帳'!$AP276,0)</f>
        <v>#N/A</v>
      </c>
      <c r="N275" s="148" t="e">
        <f ca="1">OFFSET('自動車台帳'!AC276,'自動車台帳'!$AP276,0)</f>
        <v>#N/A</v>
      </c>
      <c r="O275" s="153" t="e">
        <f ca="1">OFFSET('自動車台帳'!AD276,'自動車台帳'!$AP276,0)</f>
        <v>#N/A</v>
      </c>
      <c r="P275" s="154" t="e">
        <f ca="1">OFFSET('自動車台帳'!AE276,'自動車台帳'!$AP276,0)</f>
        <v>#N/A</v>
      </c>
      <c r="Q275" s="154" t="e">
        <f ca="1">OFFSET('自動車台帳'!AF276,'自動車台帳'!$AP276,0)</f>
        <v>#N/A</v>
      </c>
    </row>
    <row r="276" spans="1:17" ht="13.5">
      <c r="A276" s="148" t="e">
        <f ca="1">OFFSET('自動車台帳'!C277,'自動車台帳'!$AP277,0)</f>
        <v>#N/A</v>
      </c>
      <c r="B276" s="148" t="e">
        <f ca="1">OFFSET('自動車台帳'!D277,'自動車台帳'!$AP277,0)</f>
        <v>#N/A</v>
      </c>
      <c r="C276" s="148" t="e">
        <f ca="1">OFFSET('自動車台帳'!E277,'自動車台帳'!$AP277,0)</f>
        <v>#N/A</v>
      </c>
      <c r="D276" s="148" t="e">
        <f ca="1">OFFSET('自動車台帳'!F277,'自動車台帳'!$AP277,0)</f>
        <v>#N/A</v>
      </c>
      <c r="E276" s="149" t="e">
        <f ca="1">OFFSET('自動車台帳'!G277,'自動車台帳'!$AP277,0)</f>
        <v>#N/A</v>
      </c>
      <c r="F276" s="150" t="e">
        <f ca="1">OFFSET('自動車台帳'!H277,'自動車台帳'!$AP277,0)</f>
        <v>#N/A</v>
      </c>
      <c r="G276" s="148" t="e">
        <f ca="1">OFFSET('自動車台帳'!I277,'自動車台帳'!$AP277,0)</f>
        <v>#N/A</v>
      </c>
      <c r="H276" s="148" t="e">
        <f ca="1">OFFSET('自動車台帳'!J277,'自動車台帳'!$AP277,0)</f>
        <v>#N/A</v>
      </c>
      <c r="I276" s="149" t="e">
        <f ca="1">OFFSET('自動車台帳'!K277,'自動車台帳'!$AP277,0)</f>
        <v>#N/A</v>
      </c>
      <c r="J276" s="151" t="e">
        <f ca="1">OFFSET('自動車台帳'!L277,'自動車台帳'!$AP277,0)</f>
        <v>#N/A</v>
      </c>
      <c r="K276" s="152" t="e">
        <f ca="1">OFFSET('自動車台帳'!M277,'自動車台帳'!$AP277,0)</f>
        <v>#N/A</v>
      </c>
      <c r="L276" s="152" t="e">
        <f ca="1">OFFSET('自動車台帳'!N277,'自動車台帳'!$AP277,0)</f>
        <v>#N/A</v>
      </c>
      <c r="M276" s="148" t="e">
        <f ca="1">OFFSET('自動車台帳'!AB277,'自動車台帳'!$AP277,0)</f>
        <v>#N/A</v>
      </c>
      <c r="N276" s="148" t="e">
        <f ca="1">OFFSET('自動車台帳'!AC277,'自動車台帳'!$AP277,0)</f>
        <v>#N/A</v>
      </c>
      <c r="O276" s="153" t="e">
        <f ca="1">OFFSET('自動車台帳'!AD277,'自動車台帳'!$AP277,0)</f>
        <v>#N/A</v>
      </c>
      <c r="P276" s="154" t="e">
        <f ca="1">OFFSET('自動車台帳'!AE277,'自動車台帳'!$AP277,0)</f>
        <v>#N/A</v>
      </c>
      <c r="Q276" s="154" t="e">
        <f ca="1">OFFSET('自動車台帳'!AF277,'自動車台帳'!$AP277,0)</f>
        <v>#N/A</v>
      </c>
    </row>
    <row r="277" spans="1:17" ht="13.5">
      <c r="A277" s="148" t="e">
        <f ca="1">OFFSET('自動車台帳'!C278,'自動車台帳'!$AP278,0)</f>
        <v>#N/A</v>
      </c>
      <c r="B277" s="148" t="e">
        <f ca="1">OFFSET('自動車台帳'!D278,'自動車台帳'!$AP278,0)</f>
        <v>#N/A</v>
      </c>
      <c r="C277" s="148" t="e">
        <f ca="1">OFFSET('自動車台帳'!E278,'自動車台帳'!$AP278,0)</f>
        <v>#N/A</v>
      </c>
      <c r="D277" s="148" t="e">
        <f ca="1">OFFSET('自動車台帳'!F278,'自動車台帳'!$AP278,0)</f>
        <v>#N/A</v>
      </c>
      <c r="E277" s="149" t="e">
        <f ca="1">OFFSET('自動車台帳'!G278,'自動車台帳'!$AP278,0)</f>
        <v>#N/A</v>
      </c>
      <c r="F277" s="150" t="e">
        <f ca="1">OFFSET('自動車台帳'!H278,'自動車台帳'!$AP278,0)</f>
        <v>#N/A</v>
      </c>
      <c r="G277" s="148" t="e">
        <f ca="1">OFFSET('自動車台帳'!I278,'自動車台帳'!$AP278,0)</f>
        <v>#N/A</v>
      </c>
      <c r="H277" s="148" t="e">
        <f ca="1">OFFSET('自動車台帳'!J278,'自動車台帳'!$AP278,0)</f>
        <v>#N/A</v>
      </c>
      <c r="I277" s="149" t="e">
        <f ca="1">OFFSET('自動車台帳'!K278,'自動車台帳'!$AP278,0)</f>
        <v>#N/A</v>
      </c>
      <c r="J277" s="151" t="e">
        <f ca="1">OFFSET('自動車台帳'!L278,'自動車台帳'!$AP278,0)</f>
        <v>#N/A</v>
      </c>
      <c r="K277" s="152" t="e">
        <f ca="1">OFFSET('自動車台帳'!M278,'自動車台帳'!$AP278,0)</f>
        <v>#N/A</v>
      </c>
      <c r="L277" s="152" t="e">
        <f ca="1">OFFSET('自動車台帳'!N278,'自動車台帳'!$AP278,0)</f>
        <v>#N/A</v>
      </c>
      <c r="M277" s="148" t="e">
        <f ca="1">OFFSET('自動車台帳'!AB278,'自動車台帳'!$AP278,0)</f>
        <v>#N/A</v>
      </c>
      <c r="N277" s="148" t="e">
        <f ca="1">OFFSET('自動車台帳'!AC278,'自動車台帳'!$AP278,0)</f>
        <v>#N/A</v>
      </c>
      <c r="O277" s="153" t="e">
        <f ca="1">OFFSET('自動車台帳'!AD278,'自動車台帳'!$AP278,0)</f>
        <v>#N/A</v>
      </c>
      <c r="P277" s="154" t="e">
        <f ca="1">OFFSET('自動車台帳'!AE278,'自動車台帳'!$AP278,0)</f>
        <v>#N/A</v>
      </c>
      <c r="Q277" s="154" t="e">
        <f ca="1">OFFSET('自動車台帳'!AF278,'自動車台帳'!$AP278,0)</f>
        <v>#N/A</v>
      </c>
    </row>
    <row r="278" spans="1:17" ht="13.5">
      <c r="A278" s="148" t="e">
        <f ca="1">OFFSET('自動車台帳'!C279,'自動車台帳'!$AP279,0)</f>
        <v>#N/A</v>
      </c>
      <c r="B278" s="148" t="e">
        <f ca="1">OFFSET('自動車台帳'!D279,'自動車台帳'!$AP279,0)</f>
        <v>#N/A</v>
      </c>
      <c r="C278" s="148" t="e">
        <f ca="1">OFFSET('自動車台帳'!E279,'自動車台帳'!$AP279,0)</f>
        <v>#N/A</v>
      </c>
      <c r="D278" s="148" t="e">
        <f ca="1">OFFSET('自動車台帳'!F279,'自動車台帳'!$AP279,0)</f>
        <v>#N/A</v>
      </c>
      <c r="E278" s="149" t="e">
        <f ca="1">OFFSET('自動車台帳'!G279,'自動車台帳'!$AP279,0)</f>
        <v>#N/A</v>
      </c>
      <c r="F278" s="150" t="e">
        <f ca="1">OFFSET('自動車台帳'!H279,'自動車台帳'!$AP279,0)</f>
        <v>#N/A</v>
      </c>
      <c r="G278" s="148" t="e">
        <f ca="1">OFFSET('自動車台帳'!I279,'自動車台帳'!$AP279,0)</f>
        <v>#N/A</v>
      </c>
      <c r="H278" s="148" t="e">
        <f ca="1">OFFSET('自動車台帳'!J279,'自動車台帳'!$AP279,0)</f>
        <v>#N/A</v>
      </c>
      <c r="I278" s="149" t="e">
        <f ca="1">OFFSET('自動車台帳'!K279,'自動車台帳'!$AP279,0)</f>
        <v>#N/A</v>
      </c>
      <c r="J278" s="151" t="e">
        <f ca="1">OFFSET('自動車台帳'!L279,'自動車台帳'!$AP279,0)</f>
        <v>#N/A</v>
      </c>
      <c r="K278" s="152" t="e">
        <f ca="1">OFFSET('自動車台帳'!M279,'自動車台帳'!$AP279,0)</f>
        <v>#N/A</v>
      </c>
      <c r="L278" s="152" t="e">
        <f ca="1">OFFSET('自動車台帳'!N279,'自動車台帳'!$AP279,0)</f>
        <v>#N/A</v>
      </c>
      <c r="M278" s="148" t="e">
        <f ca="1">OFFSET('自動車台帳'!AB279,'自動車台帳'!$AP279,0)</f>
        <v>#N/A</v>
      </c>
      <c r="N278" s="148" t="e">
        <f ca="1">OFFSET('自動車台帳'!AC279,'自動車台帳'!$AP279,0)</f>
        <v>#N/A</v>
      </c>
      <c r="O278" s="153" t="e">
        <f ca="1">OFFSET('自動車台帳'!AD279,'自動車台帳'!$AP279,0)</f>
        <v>#N/A</v>
      </c>
      <c r="P278" s="154" t="e">
        <f ca="1">OFFSET('自動車台帳'!AE279,'自動車台帳'!$AP279,0)</f>
        <v>#N/A</v>
      </c>
      <c r="Q278" s="154" t="e">
        <f ca="1">OFFSET('自動車台帳'!AF279,'自動車台帳'!$AP279,0)</f>
        <v>#N/A</v>
      </c>
    </row>
    <row r="279" spans="1:17" ht="13.5">
      <c r="A279" s="148" t="e">
        <f ca="1">OFFSET('自動車台帳'!C280,'自動車台帳'!$AP280,0)</f>
        <v>#N/A</v>
      </c>
      <c r="B279" s="148" t="e">
        <f ca="1">OFFSET('自動車台帳'!D280,'自動車台帳'!$AP280,0)</f>
        <v>#N/A</v>
      </c>
      <c r="C279" s="148" t="e">
        <f ca="1">OFFSET('自動車台帳'!E280,'自動車台帳'!$AP280,0)</f>
        <v>#N/A</v>
      </c>
      <c r="D279" s="148" t="e">
        <f ca="1">OFFSET('自動車台帳'!F280,'自動車台帳'!$AP280,0)</f>
        <v>#N/A</v>
      </c>
      <c r="E279" s="149" t="e">
        <f ca="1">OFFSET('自動車台帳'!G280,'自動車台帳'!$AP280,0)</f>
        <v>#N/A</v>
      </c>
      <c r="F279" s="150" t="e">
        <f ca="1">OFFSET('自動車台帳'!H280,'自動車台帳'!$AP280,0)</f>
        <v>#N/A</v>
      </c>
      <c r="G279" s="148" t="e">
        <f ca="1">OFFSET('自動車台帳'!I280,'自動車台帳'!$AP280,0)</f>
        <v>#N/A</v>
      </c>
      <c r="H279" s="148" t="e">
        <f ca="1">OFFSET('自動車台帳'!J280,'自動車台帳'!$AP280,0)</f>
        <v>#N/A</v>
      </c>
      <c r="I279" s="149" t="e">
        <f ca="1">OFFSET('自動車台帳'!K280,'自動車台帳'!$AP280,0)</f>
        <v>#N/A</v>
      </c>
      <c r="J279" s="151" t="e">
        <f ca="1">OFFSET('自動車台帳'!L280,'自動車台帳'!$AP280,0)</f>
        <v>#N/A</v>
      </c>
      <c r="K279" s="152" t="e">
        <f ca="1">OFFSET('自動車台帳'!M280,'自動車台帳'!$AP280,0)</f>
        <v>#N/A</v>
      </c>
      <c r="L279" s="152" t="e">
        <f ca="1">OFFSET('自動車台帳'!N280,'自動車台帳'!$AP280,0)</f>
        <v>#N/A</v>
      </c>
      <c r="M279" s="148" t="e">
        <f ca="1">OFFSET('自動車台帳'!AB280,'自動車台帳'!$AP280,0)</f>
        <v>#N/A</v>
      </c>
      <c r="N279" s="148" t="e">
        <f ca="1">OFFSET('自動車台帳'!AC280,'自動車台帳'!$AP280,0)</f>
        <v>#N/A</v>
      </c>
      <c r="O279" s="153" t="e">
        <f ca="1">OFFSET('自動車台帳'!AD280,'自動車台帳'!$AP280,0)</f>
        <v>#N/A</v>
      </c>
      <c r="P279" s="154" t="e">
        <f ca="1">OFFSET('自動車台帳'!AE280,'自動車台帳'!$AP280,0)</f>
        <v>#N/A</v>
      </c>
      <c r="Q279" s="154" t="e">
        <f ca="1">OFFSET('自動車台帳'!AF280,'自動車台帳'!$AP280,0)</f>
        <v>#N/A</v>
      </c>
    </row>
    <row r="280" spans="1:17" ht="13.5">
      <c r="A280" s="148" t="e">
        <f ca="1">OFFSET('自動車台帳'!C281,'自動車台帳'!$AP281,0)</f>
        <v>#N/A</v>
      </c>
      <c r="B280" s="148" t="e">
        <f ca="1">OFFSET('自動車台帳'!D281,'自動車台帳'!$AP281,0)</f>
        <v>#N/A</v>
      </c>
      <c r="C280" s="148" t="e">
        <f ca="1">OFFSET('自動車台帳'!E281,'自動車台帳'!$AP281,0)</f>
        <v>#N/A</v>
      </c>
      <c r="D280" s="148" t="e">
        <f ca="1">OFFSET('自動車台帳'!F281,'自動車台帳'!$AP281,0)</f>
        <v>#N/A</v>
      </c>
      <c r="E280" s="149" t="e">
        <f ca="1">OFFSET('自動車台帳'!G281,'自動車台帳'!$AP281,0)</f>
        <v>#N/A</v>
      </c>
      <c r="F280" s="150" t="e">
        <f ca="1">OFFSET('自動車台帳'!H281,'自動車台帳'!$AP281,0)</f>
        <v>#N/A</v>
      </c>
      <c r="G280" s="148" t="e">
        <f ca="1">OFFSET('自動車台帳'!I281,'自動車台帳'!$AP281,0)</f>
        <v>#N/A</v>
      </c>
      <c r="H280" s="148" t="e">
        <f ca="1">OFFSET('自動車台帳'!J281,'自動車台帳'!$AP281,0)</f>
        <v>#N/A</v>
      </c>
      <c r="I280" s="149" t="e">
        <f ca="1">OFFSET('自動車台帳'!K281,'自動車台帳'!$AP281,0)</f>
        <v>#N/A</v>
      </c>
      <c r="J280" s="151" t="e">
        <f ca="1">OFFSET('自動車台帳'!L281,'自動車台帳'!$AP281,0)</f>
        <v>#N/A</v>
      </c>
      <c r="K280" s="152" t="e">
        <f ca="1">OFFSET('自動車台帳'!M281,'自動車台帳'!$AP281,0)</f>
        <v>#N/A</v>
      </c>
      <c r="L280" s="152" t="e">
        <f ca="1">OFFSET('自動車台帳'!N281,'自動車台帳'!$AP281,0)</f>
        <v>#N/A</v>
      </c>
      <c r="M280" s="148" t="e">
        <f ca="1">OFFSET('自動車台帳'!AB281,'自動車台帳'!$AP281,0)</f>
        <v>#N/A</v>
      </c>
      <c r="N280" s="148" t="e">
        <f ca="1">OFFSET('自動車台帳'!AC281,'自動車台帳'!$AP281,0)</f>
        <v>#N/A</v>
      </c>
      <c r="O280" s="153" t="e">
        <f ca="1">OFFSET('自動車台帳'!AD281,'自動車台帳'!$AP281,0)</f>
        <v>#N/A</v>
      </c>
      <c r="P280" s="154" t="e">
        <f ca="1">OFFSET('自動車台帳'!AE281,'自動車台帳'!$AP281,0)</f>
        <v>#N/A</v>
      </c>
      <c r="Q280" s="154" t="e">
        <f ca="1">OFFSET('自動車台帳'!AF281,'自動車台帳'!$AP281,0)</f>
        <v>#N/A</v>
      </c>
    </row>
    <row r="281" spans="1:17" ht="13.5">
      <c r="A281" s="148" t="e">
        <f ca="1">OFFSET('自動車台帳'!C282,'自動車台帳'!$AP282,0)</f>
        <v>#N/A</v>
      </c>
      <c r="B281" s="148" t="e">
        <f ca="1">OFFSET('自動車台帳'!D282,'自動車台帳'!$AP282,0)</f>
        <v>#N/A</v>
      </c>
      <c r="C281" s="148" t="e">
        <f ca="1">OFFSET('自動車台帳'!E282,'自動車台帳'!$AP282,0)</f>
        <v>#N/A</v>
      </c>
      <c r="D281" s="148" t="e">
        <f ca="1">OFFSET('自動車台帳'!F282,'自動車台帳'!$AP282,0)</f>
        <v>#N/A</v>
      </c>
      <c r="E281" s="149" t="e">
        <f ca="1">OFFSET('自動車台帳'!G282,'自動車台帳'!$AP282,0)</f>
        <v>#N/A</v>
      </c>
      <c r="F281" s="150" t="e">
        <f ca="1">OFFSET('自動車台帳'!H282,'自動車台帳'!$AP282,0)</f>
        <v>#N/A</v>
      </c>
      <c r="G281" s="148" t="e">
        <f ca="1">OFFSET('自動車台帳'!I282,'自動車台帳'!$AP282,0)</f>
        <v>#N/A</v>
      </c>
      <c r="H281" s="148" t="e">
        <f ca="1">OFFSET('自動車台帳'!J282,'自動車台帳'!$AP282,0)</f>
        <v>#N/A</v>
      </c>
      <c r="I281" s="149" t="e">
        <f ca="1">OFFSET('自動車台帳'!K282,'自動車台帳'!$AP282,0)</f>
        <v>#N/A</v>
      </c>
      <c r="J281" s="151" t="e">
        <f ca="1">OFFSET('自動車台帳'!L282,'自動車台帳'!$AP282,0)</f>
        <v>#N/A</v>
      </c>
      <c r="K281" s="152" t="e">
        <f ca="1">OFFSET('自動車台帳'!M282,'自動車台帳'!$AP282,0)</f>
        <v>#N/A</v>
      </c>
      <c r="L281" s="152" t="e">
        <f ca="1">OFFSET('自動車台帳'!N282,'自動車台帳'!$AP282,0)</f>
        <v>#N/A</v>
      </c>
      <c r="M281" s="148" t="e">
        <f ca="1">OFFSET('自動車台帳'!AB282,'自動車台帳'!$AP282,0)</f>
        <v>#N/A</v>
      </c>
      <c r="N281" s="148" t="e">
        <f ca="1">OFFSET('自動車台帳'!AC282,'自動車台帳'!$AP282,0)</f>
        <v>#N/A</v>
      </c>
      <c r="O281" s="153" t="e">
        <f ca="1">OFFSET('自動車台帳'!AD282,'自動車台帳'!$AP282,0)</f>
        <v>#N/A</v>
      </c>
      <c r="P281" s="154" t="e">
        <f ca="1">OFFSET('自動車台帳'!AE282,'自動車台帳'!$AP282,0)</f>
        <v>#N/A</v>
      </c>
      <c r="Q281" s="154" t="e">
        <f ca="1">OFFSET('自動車台帳'!AF282,'自動車台帳'!$AP282,0)</f>
        <v>#N/A</v>
      </c>
    </row>
    <row r="282" spans="1:17" ht="13.5">
      <c r="A282" s="148" t="e">
        <f ca="1">OFFSET('自動車台帳'!C283,'自動車台帳'!$AP283,0)</f>
        <v>#N/A</v>
      </c>
      <c r="B282" s="148" t="e">
        <f ca="1">OFFSET('自動車台帳'!D283,'自動車台帳'!$AP283,0)</f>
        <v>#N/A</v>
      </c>
      <c r="C282" s="148" t="e">
        <f ca="1">OFFSET('自動車台帳'!E283,'自動車台帳'!$AP283,0)</f>
        <v>#N/A</v>
      </c>
      <c r="D282" s="148" t="e">
        <f ca="1">OFFSET('自動車台帳'!F283,'自動車台帳'!$AP283,0)</f>
        <v>#N/A</v>
      </c>
      <c r="E282" s="149" t="e">
        <f ca="1">OFFSET('自動車台帳'!G283,'自動車台帳'!$AP283,0)</f>
        <v>#N/A</v>
      </c>
      <c r="F282" s="150" t="e">
        <f ca="1">OFFSET('自動車台帳'!H283,'自動車台帳'!$AP283,0)</f>
        <v>#N/A</v>
      </c>
      <c r="G282" s="148" t="e">
        <f ca="1">OFFSET('自動車台帳'!I283,'自動車台帳'!$AP283,0)</f>
        <v>#N/A</v>
      </c>
      <c r="H282" s="148" t="e">
        <f ca="1">OFFSET('自動車台帳'!J283,'自動車台帳'!$AP283,0)</f>
        <v>#N/A</v>
      </c>
      <c r="I282" s="149" t="e">
        <f ca="1">OFFSET('自動車台帳'!K283,'自動車台帳'!$AP283,0)</f>
        <v>#N/A</v>
      </c>
      <c r="J282" s="151" t="e">
        <f ca="1">OFFSET('自動車台帳'!L283,'自動車台帳'!$AP283,0)</f>
        <v>#N/A</v>
      </c>
      <c r="K282" s="152" t="e">
        <f ca="1">OFFSET('自動車台帳'!M283,'自動車台帳'!$AP283,0)</f>
        <v>#N/A</v>
      </c>
      <c r="L282" s="152" t="e">
        <f ca="1">OFFSET('自動車台帳'!N283,'自動車台帳'!$AP283,0)</f>
        <v>#N/A</v>
      </c>
      <c r="M282" s="148" t="e">
        <f ca="1">OFFSET('自動車台帳'!AB283,'自動車台帳'!$AP283,0)</f>
        <v>#N/A</v>
      </c>
      <c r="N282" s="148" t="e">
        <f ca="1">OFFSET('自動車台帳'!AC283,'自動車台帳'!$AP283,0)</f>
        <v>#N/A</v>
      </c>
      <c r="O282" s="153" t="e">
        <f ca="1">OFFSET('自動車台帳'!AD283,'自動車台帳'!$AP283,0)</f>
        <v>#N/A</v>
      </c>
      <c r="P282" s="154" t="e">
        <f ca="1">OFFSET('自動車台帳'!AE283,'自動車台帳'!$AP283,0)</f>
        <v>#N/A</v>
      </c>
      <c r="Q282" s="154" t="e">
        <f ca="1">OFFSET('自動車台帳'!AF283,'自動車台帳'!$AP283,0)</f>
        <v>#N/A</v>
      </c>
    </row>
    <row r="283" spans="1:17" ht="13.5">
      <c r="A283" s="148" t="e">
        <f ca="1">OFFSET('自動車台帳'!C284,'自動車台帳'!$AP284,0)</f>
        <v>#N/A</v>
      </c>
      <c r="B283" s="148" t="e">
        <f ca="1">OFFSET('自動車台帳'!D284,'自動車台帳'!$AP284,0)</f>
        <v>#N/A</v>
      </c>
      <c r="C283" s="148" t="e">
        <f ca="1">OFFSET('自動車台帳'!E284,'自動車台帳'!$AP284,0)</f>
        <v>#N/A</v>
      </c>
      <c r="D283" s="148" t="e">
        <f ca="1">OFFSET('自動車台帳'!F284,'自動車台帳'!$AP284,0)</f>
        <v>#N/A</v>
      </c>
      <c r="E283" s="149" t="e">
        <f ca="1">OFFSET('自動車台帳'!G284,'自動車台帳'!$AP284,0)</f>
        <v>#N/A</v>
      </c>
      <c r="F283" s="150" t="e">
        <f ca="1">OFFSET('自動車台帳'!H284,'自動車台帳'!$AP284,0)</f>
        <v>#N/A</v>
      </c>
      <c r="G283" s="148" t="e">
        <f ca="1">OFFSET('自動車台帳'!I284,'自動車台帳'!$AP284,0)</f>
        <v>#N/A</v>
      </c>
      <c r="H283" s="148" t="e">
        <f ca="1">OFFSET('自動車台帳'!J284,'自動車台帳'!$AP284,0)</f>
        <v>#N/A</v>
      </c>
      <c r="I283" s="149" t="e">
        <f ca="1">OFFSET('自動車台帳'!K284,'自動車台帳'!$AP284,0)</f>
        <v>#N/A</v>
      </c>
      <c r="J283" s="151" t="e">
        <f ca="1">OFFSET('自動車台帳'!L284,'自動車台帳'!$AP284,0)</f>
        <v>#N/A</v>
      </c>
      <c r="K283" s="152" t="e">
        <f ca="1">OFFSET('自動車台帳'!M284,'自動車台帳'!$AP284,0)</f>
        <v>#N/A</v>
      </c>
      <c r="L283" s="152" t="e">
        <f ca="1">OFFSET('自動車台帳'!N284,'自動車台帳'!$AP284,0)</f>
        <v>#N/A</v>
      </c>
      <c r="M283" s="148" t="e">
        <f ca="1">OFFSET('自動車台帳'!AB284,'自動車台帳'!$AP284,0)</f>
        <v>#N/A</v>
      </c>
      <c r="N283" s="148" t="e">
        <f ca="1">OFFSET('自動車台帳'!AC284,'自動車台帳'!$AP284,0)</f>
        <v>#N/A</v>
      </c>
      <c r="O283" s="153" t="e">
        <f ca="1">OFFSET('自動車台帳'!AD284,'自動車台帳'!$AP284,0)</f>
        <v>#N/A</v>
      </c>
      <c r="P283" s="154" t="e">
        <f ca="1">OFFSET('自動車台帳'!AE284,'自動車台帳'!$AP284,0)</f>
        <v>#N/A</v>
      </c>
      <c r="Q283" s="154" t="e">
        <f ca="1">OFFSET('自動車台帳'!AF284,'自動車台帳'!$AP284,0)</f>
        <v>#N/A</v>
      </c>
    </row>
    <row r="284" spans="1:17" ht="13.5">
      <c r="A284" s="148" t="e">
        <f ca="1">OFFSET('自動車台帳'!C285,'自動車台帳'!$AP285,0)</f>
        <v>#N/A</v>
      </c>
      <c r="B284" s="148" t="e">
        <f ca="1">OFFSET('自動車台帳'!D285,'自動車台帳'!$AP285,0)</f>
        <v>#N/A</v>
      </c>
      <c r="C284" s="148" t="e">
        <f ca="1">OFFSET('自動車台帳'!E285,'自動車台帳'!$AP285,0)</f>
        <v>#N/A</v>
      </c>
      <c r="D284" s="148" t="e">
        <f ca="1">OFFSET('自動車台帳'!F285,'自動車台帳'!$AP285,0)</f>
        <v>#N/A</v>
      </c>
      <c r="E284" s="149" t="e">
        <f ca="1">OFFSET('自動車台帳'!G285,'自動車台帳'!$AP285,0)</f>
        <v>#N/A</v>
      </c>
      <c r="F284" s="150" t="e">
        <f ca="1">OFFSET('自動車台帳'!H285,'自動車台帳'!$AP285,0)</f>
        <v>#N/A</v>
      </c>
      <c r="G284" s="148" t="e">
        <f ca="1">OFFSET('自動車台帳'!I285,'自動車台帳'!$AP285,0)</f>
        <v>#N/A</v>
      </c>
      <c r="H284" s="148" t="e">
        <f ca="1">OFFSET('自動車台帳'!J285,'自動車台帳'!$AP285,0)</f>
        <v>#N/A</v>
      </c>
      <c r="I284" s="149" t="e">
        <f ca="1">OFFSET('自動車台帳'!K285,'自動車台帳'!$AP285,0)</f>
        <v>#N/A</v>
      </c>
      <c r="J284" s="151" t="e">
        <f ca="1">OFFSET('自動車台帳'!L285,'自動車台帳'!$AP285,0)</f>
        <v>#N/A</v>
      </c>
      <c r="K284" s="152" t="e">
        <f ca="1">OFFSET('自動車台帳'!M285,'自動車台帳'!$AP285,0)</f>
        <v>#N/A</v>
      </c>
      <c r="L284" s="152" t="e">
        <f ca="1">OFFSET('自動車台帳'!N285,'自動車台帳'!$AP285,0)</f>
        <v>#N/A</v>
      </c>
      <c r="M284" s="148" t="e">
        <f ca="1">OFFSET('自動車台帳'!AB285,'自動車台帳'!$AP285,0)</f>
        <v>#N/A</v>
      </c>
      <c r="N284" s="148" t="e">
        <f ca="1">OFFSET('自動車台帳'!AC285,'自動車台帳'!$AP285,0)</f>
        <v>#N/A</v>
      </c>
      <c r="O284" s="153" t="e">
        <f ca="1">OFFSET('自動車台帳'!AD285,'自動車台帳'!$AP285,0)</f>
        <v>#N/A</v>
      </c>
      <c r="P284" s="154" t="e">
        <f ca="1">OFFSET('自動車台帳'!AE285,'自動車台帳'!$AP285,0)</f>
        <v>#N/A</v>
      </c>
      <c r="Q284" s="154" t="e">
        <f ca="1">OFFSET('自動車台帳'!AF285,'自動車台帳'!$AP285,0)</f>
        <v>#N/A</v>
      </c>
    </row>
    <row r="285" spans="1:17" ht="13.5">
      <c r="A285" s="148" t="e">
        <f ca="1">OFFSET('自動車台帳'!C286,'自動車台帳'!$AP286,0)</f>
        <v>#N/A</v>
      </c>
      <c r="B285" s="148" t="e">
        <f ca="1">OFFSET('自動車台帳'!D286,'自動車台帳'!$AP286,0)</f>
        <v>#N/A</v>
      </c>
      <c r="C285" s="148" t="e">
        <f ca="1">OFFSET('自動車台帳'!E286,'自動車台帳'!$AP286,0)</f>
        <v>#N/A</v>
      </c>
      <c r="D285" s="148" t="e">
        <f ca="1">OFFSET('自動車台帳'!F286,'自動車台帳'!$AP286,0)</f>
        <v>#N/A</v>
      </c>
      <c r="E285" s="149" t="e">
        <f ca="1">OFFSET('自動車台帳'!G286,'自動車台帳'!$AP286,0)</f>
        <v>#N/A</v>
      </c>
      <c r="F285" s="150" t="e">
        <f ca="1">OFFSET('自動車台帳'!H286,'自動車台帳'!$AP286,0)</f>
        <v>#N/A</v>
      </c>
      <c r="G285" s="148" t="e">
        <f ca="1">OFFSET('自動車台帳'!I286,'自動車台帳'!$AP286,0)</f>
        <v>#N/A</v>
      </c>
      <c r="H285" s="148" t="e">
        <f ca="1">OFFSET('自動車台帳'!J286,'自動車台帳'!$AP286,0)</f>
        <v>#N/A</v>
      </c>
      <c r="I285" s="149" t="e">
        <f ca="1">OFFSET('自動車台帳'!K286,'自動車台帳'!$AP286,0)</f>
        <v>#N/A</v>
      </c>
      <c r="J285" s="151" t="e">
        <f ca="1">OFFSET('自動車台帳'!L286,'自動車台帳'!$AP286,0)</f>
        <v>#N/A</v>
      </c>
      <c r="K285" s="152" t="e">
        <f ca="1">OFFSET('自動車台帳'!M286,'自動車台帳'!$AP286,0)</f>
        <v>#N/A</v>
      </c>
      <c r="L285" s="152" t="e">
        <f ca="1">OFFSET('自動車台帳'!N286,'自動車台帳'!$AP286,0)</f>
        <v>#N/A</v>
      </c>
      <c r="M285" s="148" t="e">
        <f ca="1">OFFSET('自動車台帳'!AB286,'自動車台帳'!$AP286,0)</f>
        <v>#N/A</v>
      </c>
      <c r="N285" s="148" t="e">
        <f ca="1">OFFSET('自動車台帳'!AC286,'自動車台帳'!$AP286,0)</f>
        <v>#N/A</v>
      </c>
      <c r="O285" s="153" t="e">
        <f ca="1">OFFSET('自動車台帳'!AD286,'自動車台帳'!$AP286,0)</f>
        <v>#N/A</v>
      </c>
      <c r="P285" s="154" t="e">
        <f ca="1">OFFSET('自動車台帳'!AE286,'自動車台帳'!$AP286,0)</f>
        <v>#N/A</v>
      </c>
      <c r="Q285" s="154" t="e">
        <f ca="1">OFFSET('自動車台帳'!AF286,'自動車台帳'!$AP286,0)</f>
        <v>#N/A</v>
      </c>
    </row>
    <row r="286" spans="1:17" ht="13.5">
      <c r="A286" s="148" t="e">
        <f ca="1">OFFSET('自動車台帳'!C287,'自動車台帳'!$AP287,0)</f>
        <v>#N/A</v>
      </c>
      <c r="B286" s="148" t="e">
        <f ca="1">OFFSET('自動車台帳'!D287,'自動車台帳'!$AP287,0)</f>
        <v>#N/A</v>
      </c>
      <c r="C286" s="148" t="e">
        <f ca="1">OFFSET('自動車台帳'!E287,'自動車台帳'!$AP287,0)</f>
        <v>#N/A</v>
      </c>
      <c r="D286" s="148" t="e">
        <f ca="1">OFFSET('自動車台帳'!F287,'自動車台帳'!$AP287,0)</f>
        <v>#N/A</v>
      </c>
      <c r="E286" s="149" t="e">
        <f ca="1">OFFSET('自動車台帳'!G287,'自動車台帳'!$AP287,0)</f>
        <v>#N/A</v>
      </c>
      <c r="F286" s="150" t="e">
        <f ca="1">OFFSET('自動車台帳'!H287,'自動車台帳'!$AP287,0)</f>
        <v>#N/A</v>
      </c>
      <c r="G286" s="148" t="e">
        <f ca="1">OFFSET('自動車台帳'!I287,'自動車台帳'!$AP287,0)</f>
        <v>#N/A</v>
      </c>
      <c r="H286" s="148" t="e">
        <f ca="1">OFFSET('自動車台帳'!J287,'自動車台帳'!$AP287,0)</f>
        <v>#N/A</v>
      </c>
      <c r="I286" s="149" t="e">
        <f ca="1">OFFSET('自動車台帳'!K287,'自動車台帳'!$AP287,0)</f>
        <v>#N/A</v>
      </c>
      <c r="J286" s="151" t="e">
        <f ca="1">OFFSET('自動車台帳'!L287,'自動車台帳'!$AP287,0)</f>
        <v>#N/A</v>
      </c>
      <c r="K286" s="152" t="e">
        <f ca="1">OFFSET('自動車台帳'!M287,'自動車台帳'!$AP287,0)</f>
        <v>#N/A</v>
      </c>
      <c r="L286" s="152" t="e">
        <f ca="1">OFFSET('自動車台帳'!N287,'自動車台帳'!$AP287,0)</f>
        <v>#N/A</v>
      </c>
      <c r="M286" s="148" t="e">
        <f ca="1">OFFSET('自動車台帳'!AB287,'自動車台帳'!$AP287,0)</f>
        <v>#N/A</v>
      </c>
      <c r="N286" s="148" t="e">
        <f ca="1">OFFSET('自動車台帳'!AC287,'自動車台帳'!$AP287,0)</f>
        <v>#N/A</v>
      </c>
      <c r="O286" s="153" t="e">
        <f ca="1">OFFSET('自動車台帳'!AD287,'自動車台帳'!$AP287,0)</f>
        <v>#N/A</v>
      </c>
      <c r="P286" s="154" t="e">
        <f ca="1">OFFSET('自動車台帳'!AE287,'自動車台帳'!$AP287,0)</f>
        <v>#N/A</v>
      </c>
      <c r="Q286" s="154" t="e">
        <f ca="1">OFFSET('自動車台帳'!AF287,'自動車台帳'!$AP287,0)</f>
        <v>#N/A</v>
      </c>
    </row>
    <row r="287" spans="1:17" ht="13.5">
      <c r="A287" s="148" t="e">
        <f ca="1">OFFSET('自動車台帳'!C288,'自動車台帳'!$AP288,0)</f>
        <v>#N/A</v>
      </c>
      <c r="B287" s="148" t="e">
        <f ca="1">OFFSET('自動車台帳'!D288,'自動車台帳'!$AP288,0)</f>
        <v>#N/A</v>
      </c>
      <c r="C287" s="148" t="e">
        <f ca="1">OFFSET('自動車台帳'!E288,'自動車台帳'!$AP288,0)</f>
        <v>#N/A</v>
      </c>
      <c r="D287" s="148" t="e">
        <f ca="1">OFFSET('自動車台帳'!F288,'自動車台帳'!$AP288,0)</f>
        <v>#N/A</v>
      </c>
      <c r="E287" s="149" t="e">
        <f ca="1">OFFSET('自動車台帳'!G288,'自動車台帳'!$AP288,0)</f>
        <v>#N/A</v>
      </c>
      <c r="F287" s="150" t="e">
        <f ca="1">OFFSET('自動車台帳'!H288,'自動車台帳'!$AP288,0)</f>
        <v>#N/A</v>
      </c>
      <c r="G287" s="148" t="e">
        <f ca="1">OFFSET('自動車台帳'!I288,'自動車台帳'!$AP288,0)</f>
        <v>#N/A</v>
      </c>
      <c r="H287" s="148" t="e">
        <f ca="1">OFFSET('自動車台帳'!J288,'自動車台帳'!$AP288,0)</f>
        <v>#N/A</v>
      </c>
      <c r="I287" s="149" t="e">
        <f ca="1">OFFSET('自動車台帳'!K288,'自動車台帳'!$AP288,0)</f>
        <v>#N/A</v>
      </c>
      <c r="J287" s="151" t="e">
        <f ca="1">OFFSET('自動車台帳'!L288,'自動車台帳'!$AP288,0)</f>
        <v>#N/A</v>
      </c>
      <c r="K287" s="152" t="e">
        <f ca="1">OFFSET('自動車台帳'!M288,'自動車台帳'!$AP288,0)</f>
        <v>#N/A</v>
      </c>
      <c r="L287" s="152" t="e">
        <f ca="1">OFFSET('自動車台帳'!N288,'自動車台帳'!$AP288,0)</f>
        <v>#N/A</v>
      </c>
      <c r="M287" s="148" t="e">
        <f ca="1">OFFSET('自動車台帳'!AB288,'自動車台帳'!$AP288,0)</f>
        <v>#N/A</v>
      </c>
      <c r="N287" s="148" t="e">
        <f ca="1">OFFSET('自動車台帳'!AC288,'自動車台帳'!$AP288,0)</f>
        <v>#N/A</v>
      </c>
      <c r="O287" s="153" t="e">
        <f ca="1">OFFSET('自動車台帳'!AD288,'自動車台帳'!$AP288,0)</f>
        <v>#N/A</v>
      </c>
      <c r="P287" s="154" t="e">
        <f ca="1">OFFSET('自動車台帳'!AE288,'自動車台帳'!$AP288,0)</f>
        <v>#N/A</v>
      </c>
      <c r="Q287" s="154" t="e">
        <f ca="1">OFFSET('自動車台帳'!AF288,'自動車台帳'!$AP288,0)</f>
        <v>#N/A</v>
      </c>
    </row>
    <row r="288" spans="1:17" ht="13.5">
      <c r="A288" s="148" t="e">
        <f ca="1">OFFSET('自動車台帳'!C289,'自動車台帳'!$AP289,0)</f>
        <v>#N/A</v>
      </c>
      <c r="B288" s="148" t="e">
        <f ca="1">OFFSET('自動車台帳'!D289,'自動車台帳'!$AP289,0)</f>
        <v>#N/A</v>
      </c>
      <c r="C288" s="148" t="e">
        <f ca="1">OFFSET('自動車台帳'!E289,'自動車台帳'!$AP289,0)</f>
        <v>#N/A</v>
      </c>
      <c r="D288" s="148" t="e">
        <f ca="1">OFFSET('自動車台帳'!F289,'自動車台帳'!$AP289,0)</f>
        <v>#N/A</v>
      </c>
      <c r="E288" s="149" t="e">
        <f ca="1">OFFSET('自動車台帳'!G289,'自動車台帳'!$AP289,0)</f>
        <v>#N/A</v>
      </c>
      <c r="F288" s="150" t="e">
        <f ca="1">OFFSET('自動車台帳'!H289,'自動車台帳'!$AP289,0)</f>
        <v>#N/A</v>
      </c>
      <c r="G288" s="148" t="e">
        <f ca="1">OFFSET('自動車台帳'!I289,'自動車台帳'!$AP289,0)</f>
        <v>#N/A</v>
      </c>
      <c r="H288" s="148" t="e">
        <f ca="1">OFFSET('自動車台帳'!J289,'自動車台帳'!$AP289,0)</f>
        <v>#N/A</v>
      </c>
      <c r="I288" s="149" t="e">
        <f ca="1">OFFSET('自動車台帳'!K289,'自動車台帳'!$AP289,0)</f>
        <v>#N/A</v>
      </c>
      <c r="J288" s="151" t="e">
        <f ca="1">OFFSET('自動車台帳'!L289,'自動車台帳'!$AP289,0)</f>
        <v>#N/A</v>
      </c>
      <c r="K288" s="152" t="e">
        <f ca="1">OFFSET('自動車台帳'!M289,'自動車台帳'!$AP289,0)</f>
        <v>#N/A</v>
      </c>
      <c r="L288" s="152" t="e">
        <f ca="1">OFFSET('自動車台帳'!N289,'自動車台帳'!$AP289,0)</f>
        <v>#N/A</v>
      </c>
      <c r="M288" s="148" t="e">
        <f ca="1">OFFSET('自動車台帳'!AB289,'自動車台帳'!$AP289,0)</f>
        <v>#N/A</v>
      </c>
      <c r="N288" s="148" t="e">
        <f ca="1">OFFSET('自動車台帳'!AC289,'自動車台帳'!$AP289,0)</f>
        <v>#N/A</v>
      </c>
      <c r="O288" s="153" t="e">
        <f ca="1">OFFSET('自動車台帳'!AD289,'自動車台帳'!$AP289,0)</f>
        <v>#N/A</v>
      </c>
      <c r="P288" s="154" t="e">
        <f ca="1">OFFSET('自動車台帳'!AE289,'自動車台帳'!$AP289,0)</f>
        <v>#N/A</v>
      </c>
      <c r="Q288" s="154" t="e">
        <f ca="1">OFFSET('自動車台帳'!AF289,'自動車台帳'!$AP289,0)</f>
        <v>#N/A</v>
      </c>
    </row>
    <row r="289" spans="1:17" ht="13.5">
      <c r="A289" s="148" t="e">
        <f ca="1">OFFSET('自動車台帳'!C290,'自動車台帳'!$AP290,0)</f>
        <v>#N/A</v>
      </c>
      <c r="B289" s="148" t="e">
        <f ca="1">OFFSET('自動車台帳'!D290,'自動車台帳'!$AP290,0)</f>
        <v>#N/A</v>
      </c>
      <c r="C289" s="148" t="e">
        <f ca="1">OFFSET('自動車台帳'!E290,'自動車台帳'!$AP290,0)</f>
        <v>#N/A</v>
      </c>
      <c r="D289" s="148" t="e">
        <f ca="1">OFFSET('自動車台帳'!F290,'自動車台帳'!$AP290,0)</f>
        <v>#N/A</v>
      </c>
      <c r="E289" s="149" t="e">
        <f ca="1">OFFSET('自動車台帳'!G290,'自動車台帳'!$AP290,0)</f>
        <v>#N/A</v>
      </c>
      <c r="F289" s="150" t="e">
        <f ca="1">OFFSET('自動車台帳'!H290,'自動車台帳'!$AP290,0)</f>
        <v>#N/A</v>
      </c>
      <c r="G289" s="148" t="e">
        <f ca="1">OFFSET('自動車台帳'!I290,'自動車台帳'!$AP290,0)</f>
        <v>#N/A</v>
      </c>
      <c r="H289" s="148" t="e">
        <f ca="1">OFFSET('自動車台帳'!J290,'自動車台帳'!$AP290,0)</f>
        <v>#N/A</v>
      </c>
      <c r="I289" s="149" t="e">
        <f ca="1">OFFSET('自動車台帳'!K290,'自動車台帳'!$AP290,0)</f>
        <v>#N/A</v>
      </c>
      <c r="J289" s="151" t="e">
        <f ca="1">OFFSET('自動車台帳'!L290,'自動車台帳'!$AP290,0)</f>
        <v>#N/A</v>
      </c>
      <c r="K289" s="152" t="e">
        <f ca="1">OFFSET('自動車台帳'!M290,'自動車台帳'!$AP290,0)</f>
        <v>#N/A</v>
      </c>
      <c r="L289" s="152" t="e">
        <f ca="1">OFFSET('自動車台帳'!N290,'自動車台帳'!$AP290,0)</f>
        <v>#N/A</v>
      </c>
      <c r="M289" s="148" t="e">
        <f ca="1">OFFSET('自動車台帳'!AB290,'自動車台帳'!$AP290,0)</f>
        <v>#N/A</v>
      </c>
      <c r="N289" s="148" t="e">
        <f ca="1">OFFSET('自動車台帳'!AC290,'自動車台帳'!$AP290,0)</f>
        <v>#N/A</v>
      </c>
      <c r="O289" s="153" t="e">
        <f ca="1">OFFSET('自動車台帳'!AD290,'自動車台帳'!$AP290,0)</f>
        <v>#N/A</v>
      </c>
      <c r="P289" s="154" t="e">
        <f ca="1">OFFSET('自動車台帳'!AE290,'自動車台帳'!$AP290,0)</f>
        <v>#N/A</v>
      </c>
      <c r="Q289" s="154" t="e">
        <f ca="1">OFFSET('自動車台帳'!AF290,'自動車台帳'!$AP290,0)</f>
        <v>#N/A</v>
      </c>
    </row>
    <row r="290" spans="1:17" ht="13.5">
      <c r="A290" s="148" t="e">
        <f ca="1">OFFSET('自動車台帳'!C291,'自動車台帳'!$AP291,0)</f>
        <v>#N/A</v>
      </c>
      <c r="B290" s="148" t="e">
        <f ca="1">OFFSET('自動車台帳'!D291,'自動車台帳'!$AP291,0)</f>
        <v>#N/A</v>
      </c>
      <c r="C290" s="148" t="e">
        <f ca="1">OFFSET('自動車台帳'!E291,'自動車台帳'!$AP291,0)</f>
        <v>#N/A</v>
      </c>
      <c r="D290" s="148" t="e">
        <f ca="1">OFFSET('自動車台帳'!F291,'自動車台帳'!$AP291,0)</f>
        <v>#N/A</v>
      </c>
      <c r="E290" s="149" t="e">
        <f ca="1">OFFSET('自動車台帳'!G291,'自動車台帳'!$AP291,0)</f>
        <v>#N/A</v>
      </c>
      <c r="F290" s="150" t="e">
        <f ca="1">OFFSET('自動車台帳'!H291,'自動車台帳'!$AP291,0)</f>
        <v>#N/A</v>
      </c>
      <c r="G290" s="148" t="e">
        <f ca="1">OFFSET('自動車台帳'!I291,'自動車台帳'!$AP291,0)</f>
        <v>#N/A</v>
      </c>
      <c r="H290" s="148" t="e">
        <f ca="1">OFFSET('自動車台帳'!J291,'自動車台帳'!$AP291,0)</f>
        <v>#N/A</v>
      </c>
      <c r="I290" s="149" t="e">
        <f ca="1">OFFSET('自動車台帳'!K291,'自動車台帳'!$AP291,0)</f>
        <v>#N/A</v>
      </c>
      <c r="J290" s="151" t="e">
        <f ca="1">OFFSET('自動車台帳'!L291,'自動車台帳'!$AP291,0)</f>
        <v>#N/A</v>
      </c>
      <c r="K290" s="152" t="e">
        <f ca="1">OFFSET('自動車台帳'!M291,'自動車台帳'!$AP291,0)</f>
        <v>#N/A</v>
      </c>
      <c r="L290" s="152" t="e">
        <f ca="1">OFFSET('自動車台帳'!N291,'自動車台帳'!$AP291,0)</f>
        <v>#N/A</v>
      </c>
      <c r="M290" s="148" t="e">
        <f ca="1">OFFSET('自動車台帳'!AB291,'自動車台帳'!$AP291,0)</f>
        <v>#N/A</v>
      </c>
      <c r="N290" s="148" t="e">
        <f ca="1">OFFSET('自動車台帳'!AC291,'自動車台帳'!$AP291,0)</f>
        <v>#N/A</v>
      </c>
      <c r="O290" s="153" t="e">
        <f ca="1">OFFSET('自動車台帳'!AD291,'自動車台帳'!$AP291,0)</f>
        <v>#N/A</v>
      </c>
      <c r="P290" s="154" t="e">
        <f ca="1">OFFSET('自動車台帳'!AE291,'自動車台帳'!$AP291,0)</f>
        <v>#N/A</v>
      </c>
      <c r="Q290" s="154" t="e">
        <f ca="1">OFFSET('自動車台帳'!AF291,'自動車台帳'!$AP291,0)</f>
        <v>#N/A</v>
      </c>
    </row>
    <row r="291" spans="1:17" ht="13.5">
      <c r="A291" s="148" t="e">
        <f ca="1">OFFSET('自動車台帳'!C292,'自動車台帳'!$AP292,0)</f>
        <v>#N/A</v>
      </c>
      <c r="B291" s="148" t="e">
        <f ca="1">OFFSET('自動車台帳'!D292,'自動車台帳'!$AP292,0)</f>
        <v>#N/A</v>
      </c>
      <c r="C291" s="148" t="e">
        <f ca="1">OFFSET('自動車台帳'!E292,'自動車台帳'!$AP292,0)</f>
        <v>#N/A</v>
      </c>
      <c r="D291" s="148" t="e">
        <f ca="1">OFFSET('自動車台帳'!F292,'自動車台帳'!$AP292,0)</f>
        <v>#N/A</v>
      </c>
      <c r="E291" s="149" t="e">
        <f ca="1">OFFSET('自動車台帳'!G292,'自動車台帳'!$AP292,0)</f>
        <v>#N/A</v>
      </c>
      <c r="F291" s="150" t="e">
        <f ca="1">OFFSET('自動車台帳'!H292,'自動車台帳'!$AP292,0)</f>
        <v>#N/A</v>
      </c>
      <c r="G291" s="148" t="e">
        <f ca="1">OFFSET('自動車台帳'!I292,'自動車台帳'!$AP292,0)</f>
        <v>#N/A</v>
      </c>
      <c r="H291" s="148" t="e">
        <f ca="1">OFFSET('自動車台帳'!J292,'自動車台帳'!$AP292,0)</f>
        <v>#N/A</v>
      </c>
      <c r="I291" s="149" t="e">
        <f ca="1">OFFSET('自動車台帳'!K292,'自動車台帳'!$AP292,0)</f>
        <v>#N/A</v>
      </c>
      <c r="J291" s="151" t="e">
        <f ca="1">OFFSET('自動車台帳'!L292,'自動車台帳'!$AP292,0)</f>
        <v>#N/A</v>
      </c>
      <c r="K291" s="152" t="e">
        <f ca="1">OFFSET('自動車台帳'!M292,'自動車台帳'!$AP292,0)</f>
        <v>#N/A</v>
      </c>
      <c r="L291" s="152" t="e">
        <f ca="1">OFFSET('自動車台帳'!N292,'自動車台帳'!$AP292,0)</f>
        <v>#N/A</v>
      </c>
      <c r="M291" s="148" t="e">
        <f ca="1">OFFSET('自動車台帳'!AB292,'自動車台帳'!$AP292,0)</f>
        <v>#N/A</v>
      </c>
      <c r="N291" s="148" t="e">
        <f ca="1">OFFSET('自動車台帳'!AC292,'自動車台帳'!$AP292,0)</f>
        <v>#N/A</v>
      </c>
      <c r="O291" s="153" t="e">
        <f ca="1">OFFSET('自動車台帳'!AD292,'自動車台帳'!$AP292,0)</f>
        <v>#N/A</v>
      </c>
      <c r="P291" s="154" t="e">
        <f ca="1">OFFSET('自動車台帳'!AE292,'自動車台帳'!$AP292,0)</f>
        <v>#N/A</v>
      </c>
      <c r="Q291" s="154" t="e">
        <f ca="1">OFFSET('自動車台帳'!AF292,'自動車台帳'!$AP292,0)</f>
        <v>#N/A</v>
      </c>
    </row>
    <row r="292" spans="1:17" ht="13.5">
      <c r="A292" s="148" t="e">
        <f ca="1">OFFSET('自動車台帳'!C293,'自動車台帳'!$AP293,0)</f>
        <v>#N/A</v>
      </c>
      <c r="B292" s="148" t="e">
        <f ca="1">OFFSET('自動車台帳'!D293,'自動車台帳'!$AP293,0)</f>
        <v>#N/A</v>
      </c>
      <c r="C292" s="148" t="e">
        <f ca="1">OFFSET('自動車台帳'!E293,'自動車台帳'!$AP293,0)</f>
        <v>#N/A</v>
      </c>
      <c r="D292" s="148" t="e">
        <f ca="1">OFFSET('自動車台帳'!F293,'自動車台帳'!$AP293,0)</f>
        <v>#N/A</v>
      </c>
      <c r="E292" s="149" t="e">
        <f ca="1">OFFSET('自動車台帳'!G293,'自動車台帳'!$AP293,0)</f>
        <v>#N/A</v>
      </c>
      <c r="F292" s="150" t="e">
        <f ca="1">OFFSET('自動車台帳'!H293,'自動車台帳'!$AP293,0)</f>
        <v>#N/A</v>
      </c>
      <c r="G292" s="148" t="e">
        <f ca="1">OFFSET('自動車台帳'!I293,'自動車台帳'!$AP293,0)</f>
        <v>#N/A</v>
      </c>
      <c r="H292" s="148" t="e">
        <f ca="1">OFFSET('自動車台帳'!J293,'自動車台帳'!$AP293,0)</f>
        <v>#N/A</v>
      </c>
      <c r="I292" s="149" t="e">
        <f ca="1">OFFSET('自動車台帳'!K293,'自動車台帳'!$AP293,0)</f>
        <v>#N/A</v>
      </c>
      <c r="J292" s="151" t="e">
        <f ca="1">OFFSET('自動車台帳'!L293,'自動車台帳'!$AP293,0)</f>
        <v>#N/A</v>
      </c>
      <c r="K292" s="152" t="e">
        <f ca="1">OFFSET('自動車台帳'!M293,'自動車台帳'!$AP293,0)</f>
        <v>#N/A</v>
      </c>
      <c r="L292" s="152" t="e">
        <f ca="1">OFFSET('自動車台帳'!N293,'自動車台帳'!$AP293,0)</f>
        <v>#N/A</v>
      </c>
      <c r="M292" s="148" t="e">
        <f ca="1">OFFSET('自動車台帳'!AB293,'自動車台帳'!$AP293,0)</f>
        <v>#N/A</v>
      </c>
      <c r="N292" s="148" t="e">
        <f ca="1">OFFSET('自動車台帳'!AC293,'自動車台帳'!$AP293,0)</f>
        <v>#N/A</v>
      </c>
      <c r="O292" s="153" t="e">
        <f ca="1">OFFSET('自動車台帳'!AD293,'自動車台帳'!$AP293,0)</f>
        <v>#N/A</v>
      </c>
      <c r="P292" s="154" t="e">
        <f ca="1">OFFSET('自動車台帳'!AE293,'自動車台帳'!$AP293,0)</f>
        <v>#N/A</v>
      </c>
      <c r="Q292" s="154" t="e">
        <f ca="1">OFFSET('自動車台帳'!AF293,'自動車台帳'!$AP293,0)</f>
        <v>#N/A</v>
      </c>
    </row>
    <row r="293" spans="1:17" ht="13.5">
      <c r="A293" s="148" t="e">
        <f ca="1">OFFSET('自動車台帳'!C294,'自動車台帳'!$AP294,0)</f>
        <v>#N/A</v>
      </c>
      <c r="B293" s="148" t="e">
        <f ca="1">OFFSET('自動車台帳'!D294,'自動車台帳'!$AP294,0)</f>
        <v>#N/A</v>
      </c>
      <c r="C293" s="148" t="e">
        <f ca="1">OFFSET('自動車台帳'!E294,'自動車台帳'!$AP294,0)</f>
        <v>#N/A</v>
      </c>
      <c r="D293" s="148" t="e">
        <f ca="1">OFFSET('自動車台帳'!F294,'自動車台帳'!$AP294,0)</f>
        <v>#N/A</v>
      </c>
      <c r="E293" s="149" t="e">
        <f ca="1">OFFSET('自動車台帳'!G294,'自動車台帳'!$AP294,0)</f>
        <v>#N/A</v>
      </c>
      <c r="F293" s="150" t="e">
        <f ca="1">OFFSET('自動車台帳'!H294,'自動車台帳'!$AP294,0)</f>
        <v>#N/A</v>
      </c>
      <c r="G293" s="148" t="e">
        <f ca="1">OFFSET('自動車台帳'!I294,'自動車台帳'!$AP294,0)</f>
        <v>#N/A</v>
      </c>
      <c r="H293" s="148" t="e">
        <f ca="1">OFFSET('自動車台帳'!J294,'自動車台帳'!$AP294,0)</f>
        <v>#N/A</v>
      </c>
      <c r="I293" s="149" t="e">
        <f ca="1">OFFSET('自動車台帳'!K294,'自動車台帳'!$AP294,0)</f>
        <v>#N/A</v>
      </c>
      <c r="J293" s="151" t="e">
        <f ca="1">OFFSET('自動車台帳'!L294,'自動車台帳'!$AP294,0)</f>
        <v>#N/A</v>
      </c>
      <c r="K293" s="152" t="e">
        <f ca="1">OFFSET('自動車台帳'!M294,'自動車台帳'!$AP294,0)</f>
        <v>#N/A</v>
      </c>
      <c r="L293" s="152" t="e">
        <f ca="1">OFFSET('自動車台帳'!N294,'自動車台帳'!$AP294,0)</f>
        <v>#N/A</v>
      </c>
      <c r="M293" s="148" t="e">
        <f ca="1">OFFSET('自動車台帳'!AB294,'自動車台帳'!$AP294,0)</f>
        <v>#N/A</v>
      </c>
      <c r="N293" s="148" t="e">
        <f ca="1">OFFSET('自動車台帳'!AC294,'自動車台帳'!$AP294,0)</f>
        <v>#N/A</v>
      </c>
      <c r="O293" s="153" t="e">
        <f ca="1">OFFSET('自動車台帳'!AD294,'自動車台帳'!$AP294,0)</f>
        <v>#N/A</v>
      </c>
      <c r="P293" s="154" t="e">
        <f ca="1">OFFSET('自動車台帳'!AE294,'自動車台帳'!$AP294,0)</f>
        <v>#N/A</v>
      </c>
      <c r="Q293" s="154" t="e">
        <f ca="1">OFFSET('自動車台帳'!AF294,'自動車台帳'!$AP294,0)</f>
        <v>#N/A</v>
      </c>
    </row>
    <row r="294" spans="1:17" ht="13.5">
      <c r="A294" s="148" t="e">
        <f ca="1">OFFSET('自動車台帳'!C295,'自動車台帳'!$AP295,0)</f>
        <v>#N/A</v>
      </c>
      <c r="B294" s="148" t="e">
        <f ca="1">OFFSET('自動車台帳'!D295,'自動車台帳'!$AP295,0)</f>
        <v>#N/A</v>
      </c>
      <c r="C294" s="148" t="e">
        <f ca="1">OFFSET('自動車台帳'!E295,'自動車台帳'!$AP295,0)</f>
        <v>#N/A</v>
      </c>
      <c r="D294" s="148" t="e">
        <f ca="1">OFFSET('自動車台帳'!F295,'自動車台帳'!$AP295,0)</f>
        <v>#N/A</v>
      </c>
      <c r="E294" s="149" t="e">
        <f ca="1">OFFSET('自動車台帳'!G295,'自動車台帳'!$AP295,0)</f>
        <v>#N/A</v>
      </c>
      <c r="F294" s="150" t="e">
        <f ca="1">OFFSET('自動車台帳'!H295,'自動車台帳'!$AP295,0)</f>
        <v>#N/A</v>
      </c>
      <c r="G294" s="148" t="e">
        <f ca="1">OFFSET('自動車台帳'!I295,'自動車台帳'!$AP295,0)</f>
        <v>#N/A</v>
      </c>
      <c r="H294" s="148" t="e">
        <f ca="1">OFFSET('自動車台帳'!J295,'自動車台帳'!$AP295,0)</f>
        <v>#N/A</v>
      </c>
      <c r="I294" s="149" t="e">
        <f ca="1">OFFSET('自動車台帳'!K295,'自動車台帳'!$AP295,0)</f>
        <v>#N/A</v>
      </c>
      <c r="J294" s="151" t="e">
        <f ca="1">OFFSET('自動車台帳'!L295,'自動車台帳'!$AP295,0)</f>
        <v>#N/A</v>
      </c>
      <c r="K294" s="152" t="e">
        <f ca="1">OFFSET('自動車台帳'!M295,'自動車台帳'!$AP295,0)</f>
        <v>#N/A</v>
      </c>
      <c r="L294" s="152" t="e">
        <f ca="1">OFFSET('自動車台帳'!N295,'自動車台帳'!$AP295,0)</f>
        <v>#N/A</v>
      </c>
      <c r="M294" s="148" t="e">
        <f ca="1">OFFSET('自動車台帳'!AB295,'自動車台帳'!$AP295,0)</f>
        <v>#N/A</v>
      </c>
      <c r="N294" s="148" t="e">
        <f ca="1">OFFSET('自動車台帳'!AC295,'自動車台帳'!$AP295,0)</f>
        <v>#N/A</v>
      </c>
      <c r="O294" s="153" t="e">
        <f ca="1">OFFSET('自動車台帳'!AD295,'自動車台帳'!$AP295,0)</f>
        <v>#N/A</v>
      </c>
      <c r="P294" s="154" t="e">
        <f ca="1">OFFSET('自動車台帳'!AE295,'自動車台帳'!$AP295,0)</f>
        <v>#N/A</v>
      </c>
      <c r="Q294" s="154" t="e">
        <f ca="1">OFFSET('自動車台帳'!AF295,'自動車台帳'!$AP295,0)</f>
        <v>#N/A</v>
      </c>
    </row>
    <row r="295" spans="1:17" ht="13.5">
      <c r="A295" s="148" t="e">
        <f ca="1">OFFSET('自動車台帳'!C296,'自動車台帳'!$AP296,0)</f>
        <v>#N/A</v>
      </c>
      <c r="B295" s="148" t="e">
        <f ca="1">OFFSET('自動車台帳'!D296,'自動車台帳'!$AP296,0)</f>
        <v>#N/A</v>
      </c>
      <c r="C295" s="148" t="e">
        <f ca="1">OFFSET('自動車台帳'!E296,'自動車台帳'!$AP296,0)</f>
        <v>#N/A</v>
      </c>
      <c r="D295" s="148" t="e">
        <f ca="1">OFFSET('自動車台帳'!F296,'自動車台帳'!$AP296,0)</f>
        <v>#N/A</v>
      </c>
      <c r="E295" s="149" t="e">
        <f ca="1">OFFSET('自動車台帳'!G296,'自動車台帳'!$AP296,0)</f>
        <v>#N/A</v>
      </c>
      <c r="F295" s="150" t="e">
        <f ca="1">OFFSET('自動車台帳'!H296,'自動車台帳'!$AP296,0)</f>
        <v>#N/A</v>
      </c>
      <c r="G295" s="148" t="e">
        <f ca="1">OFFSET('自動車台帳'!I296,'自動車台帳'!$AP296,0)</f>
        <v>#N/A</v>
      </c>
      <c r="H295" s="148" t="e">
        <f ca="1">OFFSET('自動車台帳'!J296,'自動車台帳'!$AP296,0)</f>
        <v>#N/A</v>
      </c>
      <c r="I295" s="149" t="e">
        <f ca="1">OFFSET('自動車台帳'!K296,'自動車台帳'!$AP296,0)</f>
        <v>#N/A</v>
      </c>
      <c r="J295" s="151" t="e">
        <f ca="1">OFFSET('自動車台帳'!L296,'自動車台帳'!$AP296,0)</f>
        <v>#N/A</v>
      </c>
      <c r="K295" s="152" t="e">
        <f ca="1">OFFSET('自動車台帳'!M296,'自動車台帳'!$AP296,0)</f>
        <v>#N/A</v>
      </c>
      <c r="L295" s="152" t="e">
        <f ca="1">OFFSET('自動車台帳'!N296,'自動車台帳'!$AP296,0)</f>
        <v>#N/A</v>
      </c>
      <c r="M295" s="148" t="e">
        <f ca="1">OFFSET('自動車台帳'!AB296,'自動車台帳'!$AP296,0)</f>
        <v>#N/A</v>
      </c>
      <c r="N295" s="148" t="e">
        <f ca="1">OFFSET('自動車台帳'!AC296,'自動車台帳'!$AP296,0)</f>
        <v>#N/A</v>
      </c>
      <c r="O295" s="153" t="e">
        <f ca="1">OFFSET('自動車台帳'!AD296,'自動車台帳'!$AP296,0)</f>
        <v>#N/A</v>
      </c>
      <c r="P295" s="154" t="e">
        <f ca="1">OFFSET('自動車台帳'!AE296,'自動車台帳'!$AP296,0)</f>
        <v>#N/A</v>
      </c>
      <c r="Q295" s="154" t="e">
        <f ca="1">OFFSET('自動車台帳'!AF296,'自動車台帳'!$AP296,0)</f>
        <v>#N/A</v>
      </c>
    </row>
    <row r="296" spans="1:17" ht="13.5">
      <c r="A296" s="148" t="e">
        <f ca="1">OFFSET('自動車台帳'!C297,'自動車台帳'!$AP297,0)</f>
        <v>#N/A</v>
      </c>
      <c r="B296" s="148" t="e">
        <f ca="1">OFFSET('自動車台帳'!D297,'自動車台帳'!$AP297,0)</f>
        <v>#N/A</v>
      </c>
      <c r="C296" s="148" t="e">
        <f ca="1">OFFSET('自動車台帳'!E297,'自動車台帳'!$AP297,0)</f>
        <v>#N/A</v>
      </c>
      <c r="D296" s="148" t="e">
        <f ca="1">OFFSET('自動車台帳'!F297,'自動車台帳'!$AP297,0)</f>
        <v>#N/A</v>
      </c>
      <c r="E296" s="149" t="e">
        <f ca="1">OFFSET('自動車台帳'!G297,'自動車台帳'!$AP297,0)</f>
        <v>#N/A</v>
      </c>
      <c r="F296" s="150" t="e">
        <f ca="1">OFFSET('自動車台帳'!H297,'自動車台帳'!$AP297,0)</f>
        <v>#N/A</v>
      </c>
      <c r="G296" s="148" t="e">
        <f ca="1">OFFSET('自動車台帳'!I297,'自動車台帳'!$AP297,0)</f>
        <v>#N/A</v>
      </c>
      <c r="H296" s="148" t="e">
        <f ca="1">OFFSET('自動車台帳'!J297,'自動車台帳'!$AP297,0)</f>
        <v>#N/A</v>
      </c>
      <c r="I296" s="149" t="e">
        <f ca="1">OFFSET('自動車台帳'!K297,'自動車台帳'!$AP297,0)</f>
        <v>#N/A</v>
      </c>
      <c r="J296" s="151" t="e">
        <f ca="1">OFFSET('自動車台帳'!L297,'自動車台帳'!$AP297,0)</f>
        <v>#N/A</v>
      </c>
      <c r="K296" s="152" t="e">
        <f ca="1">OFFSET('自動車台帳'!M297,'自動車台帳'!$AP297,0)</f>
        <v>#N/A</v>
      </c>
      <c r="L296" s="152" t="e">
        <f ca="1">OFFSET('自動車台帳'!N297,'自動車台帳'!$AP297,0)</f>
        <v>#N/A</v>
      </c>
      <c r="M296" s="148" t="e">
        <f ca="1">OFFSET('自動車台帳'!AB297,'自動車台帳'!$AP297,0)</f>
        <v>#N/A</v>
      </c>
      <c r="N296" s="148" t="e">
        <f ca="1">OFFSET('自動車台帳'!AC297,'自動車台帳'!$AP297,0)</f>
        <v>#N/A</v>
      </c>
      <c r="O296" s="153" t="e">
        <f ca="1">OFFSET('自動車台帳'!AD297,'自動車台帳'!$AP297,0)</f>
        <v>#N/A</v>
      </c>
      <c r="P296" s="154" t="e">
        <f ca="1">OFFSET('自動車台帳'!AE297,'自動車台帳'!$AP297,0)</f>
        <v>#N/A</v>
      </c>
      <c r="Q296" s="154" t="e">
        <f ca="1">OFFSET('自動車台帳'!AF297,'自動車台帳'!$AP297,0)</f>
        <v>#N/A</v>
      </c>
    </row>
    <row r="297" spans="1:17" ht="13.5">
      <c r="A297" s="148" t="e">
        <f ca="1">OFFSET('自動車台帳'!C298,'自動車台帳'!$AP298,0)</f>
        <v>#N/A</v>
      </c>
      <c r="B297" s="148" t="e">
        <f ca="1">OFFSET('自動車台帳'!D298,'自動車台帳'!$AP298,0)</f>
        <v>#N/A</v>
      </c>
      <c r="C297" s="148" t="e">
        <f ca="1">OFFSET('自動車台帳'!E298,'自動車台帳'!$AP298,0)</f>
        <v>#N/A</v>
      </c>
      <c r="D297" s="148" t="e">
        <f ca="1">OFFSET('自動車台帳'!F298,'自動車台帳'!$AP298,0)</f>
        <v>#N/A</v>
      </c>
      <c r="E297" s="149" t="e">
        <f ca="1">OFFSET('自動車台帳'!G298,'自動車台帳'!$AP298,0)</f>
        <v>#N/A</v>
      </c>
      <c r="F297" s="150" t="e">
        <f ca="1">OFFSET('自動車台帳'!H298,'自動車台帳'!$AP298,0)</f>
        <v>#N/A</v>
      </c>
      <c r="G297" s="148" t="e">
        <f ca="1">OFFSET('自動車台帳'!I298,'自動車台帳'!$AP298,0)</f>
        <v>#N/A</v>
      </c>
      <c r="H297" s="148" t="e">
        <f ca="1">OFFSET('自動車台帳'!J298,'自動車台帳'!$AP298,0)</f>
        <v>#N/A</v>
      </c>
      <c r="I297" s="149" t="e">
        <f ca="1">OFFSET('自動車台帳'!K298,'自動車台帳'!$AP298,0)</f>
        <v>#N/A</v>
      </c>
      <c r="J297" s="151" t="e">
        <f ca="1">OFFSET('自動車台帳'!L298,'自動車台帳'!$AP298,0)</f>
        <v>#N/A</v>
      </c>
      <c r="K297" s="152" t="e">
        <f ca="1">OFFSET('自動車台帳'!M298,'自動車台帳'!$AP298,0)</f>
        <v>#N/A</v>
      </c>
      <c r="L297" s="152" t="e">
        <f ca="1">OFFSET('自動車台帳'!N298,'自動車台帳'!$AP298,0)</f>
        <v>#N/A</v>
      </c>
      <c r="M297" s="148" t="e">
        <f ca="1">OFFSET('自動車台帳'!AB298,'自動車台帳'!$AP298,0)</f>
        <v>#N/A</v>
      </c>
      <c r="N297" s="148" t="e">
        <f ca="1">OFFSET('自動車台帳'!AC298,'自動車台帳'!$AP298,0)</f>
        <v>#N/A</v>
      </c>
      <c r="O297" s="153" t="e">
        <f ca="1">OFFSET('自動車台帳'!AD298,'自動車台帳'!$AP298,0)</f>
        <v>#N/A</v>
      </c>
      <c r="P297" s="154" t="e">
        <f ca="1">OFFSET('自動車台帳'!AE298,'自動車台帳'!$AP298,0)</f>
        <v>#N/A</v>
      </c>
      <c r="Q297" s="154" t="e">
        <f ca="1">OFFSET('自動車台帳'!AF298,'自動車台帳'!$AP298,0)</f>
        <v>#N/A</v>
      </c>
    </row>
    <row r="298" spans="1:17" ht="13.5">
      <c r="A298" s="148" t="e">
        <f ca="1">OFFSET('自動車台帳'!C299,'自動車台帳'!$AP299,0)</f>
        <v>#N/A</v>
      </c>
      <c r="B298" s="148" t="e">
        <f ca="1">OFFSET('自動車台帳'!D299,'自動車台帳'!$AP299,0)</f>
        <v>#N/A</v>
      </c>
      <c r="C298" s="148" t="e">
        <f ca="1">OFFSET('自動車台帳'!E299,'自動車台帳'!$AP299,0)</f>
        <v>#N/A</v>
      </c>
      <c r="D298" s="148" t="e">
        <f ca="1">OFFSET('自動車台帳'!F299,'自動車台帳'!$AP299,0)</f>
        <v>#N/A</v>
      </c>
      <c r="E298" s="149" t="e">
        <f ca="1">OFFSET('自動車台帳'!G299,'自動車台帳'!$AP299,0)</f>
        <v>#N/A</v>
      </c>
      <c r="F298" s="150" t="e">
        <f ca="1">OFFSET('自動車台帳'!H299,'自動車台帳'!$AP299,0)</f>
        <v>#N/A</v>
      </c>
      <c r="G298" s="148" t="e">
        <f ca="1">OFFSET('自動車台帳'!I299,'自動車台帳'!$AP299,0)</f>
        <v>#N/A</v>
      </c>
      <c r="H298" s="148" t="e">
        <f ca="1">OFFSET('自動車台帳'!J299,'自動車台帳'!$AP299,0)</f>
        <v>#N/A</v>
      </c>
      <c r="I298" s="149" t="e">
        <f ca="1">OFFSET('自動車台帳'!K299,'自動車台帳'!$AP299,0)</f>
        <v>#N/A</v>
      </c>
      <c r="J298" s="151" t="e">
        <f ca="1">OFFSET('自動車台帳'!L299,'自動車台帳'!$AP299,0)</f>
        <v>#N/A</v>
      </c>
      <c r="K298" s="152" t="e">
        <f ca="1">OFFSET('自動車台帳'!M299,'自動車台帳'!$AP299,0)</f>
        <v>#N/A</v>
      </c>
      <c r="L298" s="152" t="e">
        <f ca="1">OFFSET('自動車台帳'!N299,'自動車台帳'!$AP299,0)</f>
        <v>#N/A</v>
      </c>
      <c r="M298" s="148" t="e">
        <f ca="1">OFFSET('自動車台帳'!AB299,'自動車台帳'!$AP299,0)</f>
        <v>#N/A</v>
      </c>
      <c r="N298" s="148" t="e">
        <f ca="1">OFFSET('自動車台帳'!AC299,'自動車台帳'!$AP299,0)</f>
        <v>#N/A</v>
      </c>
      <c r="O298" s="153" t="e">
        <f ca="1">OFFSET('自動車台帳'!AD299,'自動車台帳'!$AP299,0)</f>
        <v>#N/A</v>
      </c>
      <c r="P298" s="154" t="e">
        <f ca="1">OFFSET('自動車台帳'!AE299,'自動車台帳'!$AP299,0)</f>
        <v>#N/A</v>
      </c>
      <c r="Q298" s="154" t="e">
        <f ca="1">OFFSET('自動車台帳'!AF299,'自動車台帳'!$AP299,0)</f>
        <v>#N/A</v>
      </c>
    </row>
    <row r="299" spans="1:17" ht="13.5">
      <c r="A299" s="148" t="e">
        <f ca="1">OFFSET('自動車台帳'!C300,'自動車台帳'!$AP300,0)</f>
        <v>#N/A</v>
      </c>
      <c r="B299" s="148" t="e">
        <f ca="1">OFFSET('自動車台帳'!D300,'自動車台帳'!$AP300,0)</f>
        <v>#N/A</v>
      </c>
      <c r="C299" s="148" t="e">
        <f ca="1">OFFSET('自動車台帳'!E300,'自動車台帳'!$AP300,0)</f>
        <v>#N/A</v>
      </c>
      <c r="D299" s="148" t="e">
        <f ca="1">OFFSET('自動車台帳'!F300,'自動車台帳'!$AP300,0)</f>
        <v>#N/A</v>
      </c>
      <c r="E299" s="149" t="e">
        <f ca="1">OFFSET('自動車台帳'!G300,'自動車台帳'!$AP300,0)</f>
        <v>#N/A</v>
      </c>
      <c r="F299" s="150" t="e">
        <f ca="1">OFFSET('自動車台帳'!H300,'自動車台帳'!$AP300,0)</f>
        <v>#N/A</v>
      </c>
      <c r="G299" s="148" t="e">
        <f ca="1">OFFSET('自動車台帳'!I300,'自動車台帳'!$AP300,0)</f>
        <v>#N/A</v>
      </c>
      <c r="H299" s="148" t="e">
        <f ca="1">OFFSET('自動車台帳'!J300,'自動車台帳'!$AP300,0)</f>
        <v>#N/A</v>
      </c>
      <c r="I299" s="149" t="e">
        <f ca="1">OFFSET('自動車台帳'!K300,'自動車台帳'!$AP300,0)</f>
        <v>#N/A</v>
      </c>
      <c r="J299" s="151" t="e">
        <f ca="1">OFFSET('自動車台帳'!L300,'自動車台帳'!$AP300,0)</f>
        <v>#N/A</v>
      </c>
      <c r="K299" s="152" t="e">
        <f ca="1">OFFSET('自動車台帳'!M300,'自動車台帳'!$AP300,0)</f>
        <v>#N/A</v>
      </c>
      <c r="L299" s="152" t="e">
        <f ca="1">OFFSET('自動車台帳'!N300,'自動車台帳'!$AP300,0)</f>
        <v>#N/A</v>
      </c>
      <c r="M299" s="148" t="e">
        <f ca="1">OFFSET('自動車台帳'!AB300,'自動車台帳'!$AP300,0)</f>
        <v>#N/A</v>
      </c>
      <c r="N299" s="148" t="e">
        <f ca="1">OFFSET('自動車台帳'!AC300,'自動車台帳'!$AP300,0)</f>
        <v>#N/A</v>
      </c>
      <c r="O299" s="153" t="e">
        <f ca="1">OFFSET('自動車台帳'!AD300,'自動車台帳'!$AP300,0)</f>
        <v>#N/A</v>
      </c>
      <c r="P299" s="154" t="e">
        <f ca="1">OFFSET('自動車台帳'!AE300,'自動車台帳'!$AP300,0)</f>
        <v>#N/A</v>
      </c>
      <c r="Q299" s="154" t="e">
        <f ca="1">OFFSET('自動車台帳'!AF300,'自動車台帳'!$AP300,0)</f>
        <v>#N/A</v>
      </c>
    </row>
    <row r="300" spans="1:17" ht="13.5">
      <c r="A300" s="148" t="e">
        <f ca="1">OFFSET('自動車台帳'!C301,'自動車台帳'!$AP301,0)</f>
        <v>#N/A</v>
      </c>
      <c r="B300" s="148" t="e">
        <f ca="1">OFFSET('自動車台帳'!D301,'自動車台帳'!$AP301,0)</f>
        <v>#N/A</v>
      </c>
      <c r="C300" s="148" t="e">
        <f ca="1">OFFSET('自動車台帳'!E301,'自動車台帳'!$AP301,0)</f>
        <v>#N/A</v>
      </c>
      <c r="D300" s="148" t="e">
        <f ca="1">OFFSET('自動車台帳'!F301,'自動車台帳'!$AP301,0)</f>
        <v>#N/A</v>
      </c>
      <c r="E300" s="149" t="e">
        <f ca="1">OFFSET('自動車台帳'!G301,'自動車台帳'!$AP301,0)</f>
        <v>#N/A</v>
      </c>
      <c r="F300" s="150" t="e">
        <f ca="1">OFFSET('自動車台帳'!H301,'自動車台帳'!$AP301,0)</f>
        <v>#N/A</v>
      </c>
      <c r="G300" s="148" t="e">
        <f ca="1">OFFSET('自動車台帳'!I301,'自動車台帳'!$AP301,0)</f>
        <v>#N/A</v>
      </c>
      <c r="H300" s="148" t="e">
        <f ca="1">OFFSET('自動車台帳'!J301,'自動車台帳'!$AP301,0)</f>
        <v>#N/A</v>
      </c>
      <c r="I300" s="149" t="e">
        <f ca="1">OFFSET('自動車台帳'!K301,'自動車台帳'!$AP301,0)</f>
        <v>#N/A</v>
      </c>
      <c r="J300" s="151" t="e">
        <f ca="1">OFFSET('自動車台帳'!L301,'自動車台帳'!$AP301,0)</f>
        <v>#N/A</v>
      </c>
      <c r="K300" s="152" t="e">
        <f ca="1">OFFSET('自動車台帳'!M301,'自動車台帳'!$AP301,0)</f>
        <v>#N/A</v>
      </c>
      <c r="L300" s="152" t="e">
        <f ca="1">OFFSET('自動車台帳'!N301,'自動車台帳'!$AP301,0)</f>
        <v>#N/A</v>
      </c>
      <c r="M300" s="148" t="e">
        <f ca="1">OFFSET('自動車台帳'!AB301,'自動車台帳'!$AP301,0)</f>
        <v>#N/A</v>
      </c>
      <c r="N300" s="148" t="e">
        <f ca="1">OFFSET('自動車台帳'!AC301,'自動車台帳'!$AP301,0)</f>
        <v>#N/A</v>
      </c>
      <c r="O300" s="153" t="e">
        <f ca="1">OFFSET('自動車台帳'!AD301,'自動車台帳'!$AP301,0)</f>
        <v>#N/A</v>
      </c>
      <c r="P300" s="154" t="e">
        <f ca="1">OFFSET('自動車台帳'!AE301,'自動車台帳'!$AP301,0)</f>
        <v>#N/A</v>
      </c>
      <c r="Q300" s="154" t="e">
        <f ca="1">OFFSET('自動車台帳'!AF301,'自動車台帳'!$AP301,0)</f>
        <v>#N/A</v>
      </c>
    </row>
    <row r="301" spans="1:17" ht="13.5">
      <c r="A301" s="148" t="e">
        <f ca="1">OFFSET('自動車台帳'!C302,'自動車台帳'!$AP302,0)</f>
        <v>#N/A</v>
      </c>
      <c r="B301" s="148" t="e">
        <f ca="1">OFFSET('自動車台帳'!D302,'自動車台帳'!$AP302,0)</f>
        <v>#N/A</v>
      </c>
      <c r="C301" s="148" t="e">
        <f ca="1">OFFSET('自動車台帳'!E302,'自動車台帳'!$AP302,0)</f>
        <v>#N/A</v>
      </c>
      <c r="D301" s="148" t="e">
        <f ca="1">OFFSET('自動車台帳'!F302,'自動車台帳'!$AP302,0)</f>
        <v>#N/A</v>
      </c>
      <c r="E301" s="149" t="e">
        <f ca="1">OFFSET('自動車台帳'!G302,'自動車台帳'!$AP302,0)</f>
        <v>#N/A</v>
      </c>
      <c r="F301" s="150" t="e">
        <f ca="1">OFFSET('自動車台帳'!H302,'自動車台帳'!$AP302,0)</f>
        <v>#N/A</v>
      </c>
      <c r="G301" s="148" t="e">
        <f ca="1">OFFSET('自動車台帳'!I302,'自動車台帳'!$AP302,0)</f>
        <v>#N/A</v>
      </c>
      <c r="H301" s="148" t="e">
        <f ca="1">OFFSET('自動車台帳'!J302,'自動車台帳'!$AP302,0)</f>
        <v>#N/A</v>
      </c>
      <c r="I301" s="149" t="e">
        <f ca="1">OFFSET('自動車台帳'!K302,'自動車台帳'!$AP302,0)</f>
        <v>#N/A</v>
      </c>
      <c r="J301" s="151" t="e">
        <f ca="1">OFFSET('自動車台帳'!L302,'自動車台帳'!$AP302,0)</f>
        <v>#N/A</v>
      </c>
      <c r="K301" s="152" t="e">
        <f ca="1">OFFSET('自動車台帳'!M302,'自動車台帳'!$AP302,0)</f>
        <v>#N/A</v>
      </c>
      <c r="L301" s="152" t="e">
        <f ca="1">OFFSET('自動車台帳'!N302,'自動車台帳'!$AP302,0)</f>
        <v>#N/A</v>
      </c>
      <c r="M301" s="148" t="e">
        <f ca="1">OFFSET('自動車台帳'!AB302,'自動車台帳'!$AP302,0)</f>
        <v>#N/A</v>
      </c>
      <c r="N301" s="148" t="e">
        <f ca="1">OFFSET('自動車台帳'!AC302,'自動車台帳'!$AP302,0)</f>
        <v>#N/A</v>
      </c>
      <c r="O301" s="153" t="e">
        <f ca="1">OFFSET('自動車台帳'!AD302,'自動車台帳'!$AP302,0)</f>
        <v>#N/A</v>
      </c>
      <c r="P301" s="154" t="e">
        <f ca="1">OFFSET('自動車台帳'!AE302,'自動車台帳'!$AP302,0)</f>
        <v>#N/A</v>
      </c>
      <c r="Q301" s="154" t="e">
        <f ca="1">OFFSET('自動車台帳'!AF302,'自動車台帳'!$AP302,0)</f>
        <v>#N/A</v>
      </c>
    </row>
    <row r="302" spans="1:17" ht="13.5">
      <c r="A302" s="148" t="e">
        <f ca="1">OFFSET('自動車台帳'!C303,'自動車台帳'!$AP303,0)</f>
        <v>#N/A</v>
      </c>
      <c r="B302" s="148" t="e">
        <f ca="1">OFFSET('自動車台帳'!D303,'自動車台帳'!$AP303,0)</f>
        <v>#N/A</v>
      </c>
      <c r="C302" s="148" t="e">
        <f ca="1">OFFSET('自動車台帳'!E303,'自動車台帳'!$AP303,0)</f>
        <v>#N/A</v>
      </c>
      <c r="D302" s="148" t="e">
        <f ca="1">OFFSET('自動車台帳'!F303,'自動車台帳'!$AP303,0)</f>
        <v>#N/A</v>
      </c>
      <c r="E302" s="149" t="e">
        <f ca="1">OFFSET('自動車台帳'!G303,'自動車台帳'!$AP303,0)</f>
        <v>#N/A</v>
      </c>
      <c r="F302" s="150" t="e">
        <f ca="1">OFFSET('自動車台帳'!H303,'自動車台帳'!$AP303,0)</f>
        <v>#N/A</v>
      </c>
      <c r="G302" s="148" t="e">
        <f ca="1">OFFSET('自動車台帳'!I303,'自動車台帳'!$AP303,0)</f>
        <v>#N/A</v>
      </c>
      <c r="H302" s="148" t="e">
        <f ca="1">OFFSET('自動車台帳'!J303,'自動車台帳'!$AP303,0)</f>
        <v>#N/A</v>
      </c>
      <c r="I302" s="149" t="e">
        <f ca="1">OFFSET('自動車台帳'!K303,'自動車台帳'!$AP303,0)</f>
        <v>#N/A</v>
      </c>
      <c r="J302" s="151" t="e">
        <f ca="1">OFFSET('自動車台帳'!L303,'自動車台帳'!$AP303,0)</f>
        <v>#N/A</v>
      </c>
      <c r="K302" s="152" t="e">
        <f ca="1">OFFSET('自動車台帳'!M303,'自動車台帳'!$AP303,0)</f>
        <v>#N/A</v>
      </c>
      <c r="L302" s="152" t="e">
        <f ca="1">OFFSET('自動車台帳'!N303,'自動車台帳'!$AP303,0)</f>
        <v>#N/A</v>
      </c>
      <c r="M302" s="148" t="e">
        <f ca="1">OFFSET('自動車台帳'!AB303,'自動車台帳'!$AP303,0)</f>
        <v>#N/A</v>
      </c>
      <c r="N302" s="148" t="e">
        <f ca="1">OFFSET('自動車台帳'!AC303,'自動車台帳'!$AP303,0)</f>
        <v>#N/A</v>
      </c>
      <c r="O302" s="153" t="e">
        <f ca="1">OFFSET('自動車台帳'!AD303,'自動車台帳'!$AP303,0)</f>
        <v>#N/A</v>
      </c>
      <c r="P302" s="154" t="e">
        <f ca="1">OFFSET('自動車台帳'!AE303,'自動車台帳'!$AP303,0)</f>
        <v>#N/A</v>
      </c>
      <c r="Q302" s="154" t="e">
        <f ca="1">OFFSET('自動車台帳'!AF303,'自動車台帳'!$AP303,0)</f>
        <v>#N/A</v>
      </c>
    </row>
    <row r="303" spans="1:17" ht="13.5">
      <c r="A303" s="148" t="e">
        <f ca="1">OFFSET('自動車台帳'!C304,'自動車台帳'!$AP304,0)</f>
        <v>#N/A</v>
      </c>
      <c r="B303" s="148" t="e">
        <f ca="1">OFFSET('自動車台帳'!D304,'自動車台帳'!$AP304,0)</f>
        <v>#N/A</v>
      </c>
      <c r="C303" s="148" t="e">
        <f ca="1">OFFSET('自動車台帳'!E304,'自動車台帳'!$AP304,0)</f>
        <v>#N/A</v>
      </c>
      <c r="D303" s="148" t="e">
        <f ca="1">OFFSET('自動車台帳'!F304,'自動車台帳'!$AP304,0)</f>
        <v>#N/A</v>
      </c>
      <c r="E303" s="149" t="e">
        <f ca="1">OFFSET('自動車台帳'!G304,'自動車台帳'!$AP304,0)</f>
        <v>#N/A</v>
      </c>
      <c r="F303" s="150" t="e">
        <f ca="1">OFFSET('自動車台帳'!H304,'自動車台帳'!$AP304,0)</f>
        <v>#N/A</v>
      </c>
      <c r="G303" s="148" t="e">
        <f ca="1">OFFSET('自動車台帳'!I304,'自動車台帳'!$AP304,0)</f>
        <v>#N/A</v>
      </c>
      <c r="H303" s="148" t="e">
        <f ca="1">OFFSET('自動車台帳'!J304,'自動車台帳'!$AP304,0)</f>
        <v>#N/A</v>
      </c>
      <c r="I303" s="149" t="e">
        <f ca="1">OFFSET('自動車台帳'!K304,'自動車台帳'!$AP304,0)</f>
        <v>#N/A</v>
      </c>
      <c r="J303" s="151" t="e">
        <f ca="1">OFFSET('自動車台帳'!L304,'自動車台帳'!$AP304,0)</f>
        <v>#N/A</v>
      </c>
      <c r="K303" s="152" t="e">
        <f ca="1">OFFSET('自動車台帳'!M304,'自動車台帳'!$AP304,0)</f>
        <v>#N/A</v>
      </c>
      <c r="L303" s="152" t="e">
        <f ca="1">OFFSET('自動車台帳'!N304,'自動車台帳'!$AP304,0)</f>
        <v>#N/A</v>
      </c>
      <c r="M303" s="148" t="e">
        <f ca="1">OFFSET('自動車台帳'!AB304,'自動車台帳'!$AP304,0)</f>
        <v>#N/A</v>
      </c>
      <c r="N303" s="148" t="e">
        <f ca="1">OFFSET('自動車台帳'!AC304,'自動車台帳'!$AP304,0)</f>
        <v>#N/A</v>
      </c>
      <c r="O303" s="153" t="e">
        <f ca="1">OFFSET('自動車台帳'!AD304,'自動車台帳'!$AP304,0)</f>
        <v>#N/A</v>
      </c>
      <c r="P303" s="154" t="e">
        <f ca="1">OFFSET('自動車台帳'!AE304,'自動車台帳'!$AP304,0)</f>
        <v>#N/A</v>
      </c>
      <c r="Q303" s="154" t="e">
        <f ca="1">OFFSET('自動車台帳'!AF304,'自動車台帳'!$AP304,0)</f>
        <v>#N/A</v>
      </c>
    </row>
  </sheetData>
  <sheetProtection/>
  <mergeCells count="13">
    <mergeCell ref="L2:L3"/>
    <mergeCell ref="M2:N2"/>
    <mergeCell ref="O2:O3"/>
    <mergeCell ref="P2:Q2"/>
    <mergeCell ref="A2:A3"/>
    <mergeCell ref="B2:B3"/>
    <mergeCell ref="C2:C3"/>
    <mergeCell ref="D2:D3"/>
    <mergeCell ref="K2:K3"/>
    <mergeCell ref="E2:F2"/>
    <mergeCell ref="G2:G3"/>
    <mergeCell ref="H2:H3"/>
    <mergeCell ref="I2:J2"/>
  </mergeCells>
  <conditionalFormatting sqref="A4:Q303">
    <cfRule type="expression" priority="1" dxfId="0" stopIfTrue="1">
      <formula>ISERROR(A4)</formula>
    </cfRule>
  </conditionalFormatting>
  <printOptions/>
  <pageMargins left="0.75" right="0.75" top="1" bottom="1" header="0.512" footer="0.512"/>
  <pageSetup orientation="landscape" paperSize="9" r:id="rId1"/>
  <headerFooter alignWithMargins="0">
    <oddHeader>&amp;R様式４</oddHeader>
  </headerFooter>
</worksheet>
</file>

<file path=xl/worksheets/sheet6.xml><?xml version="1.0" encoding="utf-8"?>
<worksheet xmlns="http://schemas.openxmlformats.org/spreadsheetml/2006/main" xmlns:r="http://schemas.openxmlformats.org/officeDocument/2006/relationships">
  <dimension ref="A1:BE42"/>
  <sheetViews>
    <sheetView workbookViewId="0" topLeftCell="D1">
      <selection activeCell="M15" sqref="M15:Q15"/>
    </sheetView>
  </sheetViews>
  <sheetFormatPr defaultColWidth="9.00390625" defaultRowHeight="13.5"/>
  <cols>
    <col min="1" max="1" width="2.875" style="24" customWidth="1"/>
    <col min="2" max="2" width="16.50390625" style="24" customWidth="1"/>
    <col min="3" max="3" width="6.25390625" style="24" customWidth="1"/>
    <col min="4" max="11" width="7.375" style="24" customWidth="1"/>
    <col min="12" max="12" width="8.00390625" style="24" customWidth="1"/>
    <col min="13" max="16" width="7.375" style="24" customWidth="1"/>
    <col min="17" max="17" width="6.25390625" style="24" customWidth="1"/>
    <col min="18" max="18" width="1.4921875" style="24" customWidth="1"/>
    <col min="19" max="19" width="7.50390625" style="24" hidden="1" customWidth="1"/>
    <col min="20" max="21" width="4.50390625" style="24" hidden="1" customWidth="1"/>
    <col min="22" max="22" width="17.75390625" style="24" hidden="1" customWidth="1"/>
    <col min="23" max="36" width="4.50390625" style="24" hidden="1" customWidth="1"/>
    <col min="37" max="37" width="5.00390625" style="24" hidden="1" customWidth="1"/>
    <col min="38" max="38" width="5.375" style="24" hidden="1" customWidth="1"/>
    <col min="39" max="39" width="4.875" style="24" hidden="1" customWidth="1"/>
    <col min="40" max="40" width="4.75390625" style="24" hidden="1" customWidth="1"/>
    <col min="41" max="41" width="4.125" style="24" hidden="1" customWidth="1"/>
    <col min="42" max="57" width="9.00390625" style="24" hidden="1" customWidth="1"/>
    <col min="58" max="16384" width="4.50390625" style="24" customWidth="1"/>
  </cols>
  <sheetData>
    <row r="1" spans="1:42" ht="14.25">
      <c r="A1" s="23" t="str">
        <f>"４．低公害車導入状況（"&amp;LOOKUP('自動車台帳'!$F$1,実績報告年度,'自動車台帳'!$M$336:$M$339)&amp;"末）"</f>
        <v>４．低公害車導入状況（平成14年度末）</v>
      </c>
      <c r="F1" s="131"/>
      <c r="AP1" s="26" t="s">
        <v>258</v>
      </c>
    </row>
    <row r="2" spans="1:57" s="26" customFormat="1" ht="12" customHeight="1" thickBot="1">
      <c r="A2" s="25"/>
      <c r="B2" s="390" t="s">
        <v>120</v>
      </c>
      <c r="C2" s="391"/>
      <c r="D2" s="394" t="s">
        <v>196</v>
      </c>
      <c r="E2" s="395"/>
      <c r="F2" s="395"/>
      <c r="G2" s="395"/>
      <c r="H2" s="396"/>
      <c r="I2" s="394" t="s">
        <v>197</v>
      </c>
      <c r="J2" s="395"/>
      <c r="K2" s="395"/>
      <c r="L2" s="395"/>
      <c r="M2" s="395"/>
      <c r="N2" s="396"/>
      <c r="O2" s="394" t="s">
        <v>128</v>
      </c>
      <c r="P2" s="396"/>
      <c r="Q2" s="388" t="s">
        <v>230</v>
      </c>
      <c r="AP2" s="390" t="s">
        <v>120</v>
      </c>
      <c r="AQ2" s="391"/>
      <c r="AR2" s="394" t="s">
        <v>196</v>
      </c>
      <c r="AS2" s="395"/>
      <c r="AT2" s="395"/>
      <c r="AU2" s="395"/>
      <c r="AV2" s="396"/>
      <c r="AW2" s="394" t="s">
        <v>197</v>
      </c>
      <c r="AX2" s="395"/>
      <c r="AY2" s="395"/>
      <c r="AZ2" s="395"/>
      <c r="BA2" s="395"/>
      <c r="BB2" s="396"/>
      <c r="BC2" s="394" t="s">
        <v>128</v>
      </c>
      <c r="BD2" s="396"/>
      <c r="BE2" s="388" t="s">
        <v>230</v>
      </c>
    </row>
    <row r="3" spans="1:57" s="28" customFormat="1" ht="34.5" customHeight="1" thickBot="1">
      <c r="A3" s="27"/>
      <c r="B3" s="392"/>
      <c r="C3" s="393"/>
      <c r="D3" s="106" t="s">
        <v>187</v>
      </c>
      <c r="E3" s="107" t="s">
        <v>49</v>
      </c>
      <c r="F3" s="107" t="s">
        <v>27</v>
      </c>
      <c r="G3" s="107" t="s">
        <v>186</v>
      </c>
      <c r="H3" s="107" t="s">
        <v>193</v>
      </c>
      <c r="I3" s="107" t="s">
        <v>8</v>
      </c>
      <c r="J3" s="107" t="s">
        <v>9</v>
      </c>
      <c r="K3" s="107" t="s">
        <v>10</v>
      </c>
      <c r="L3" s="107" t="s">
        <v>11</v>
      </c>
      <c r="M3" s="100" t="s">
        <v>184</v>
      </c>
      <c r="N3" s="100" t="s">
        <v>12</v>
      </c>
      <c r="O3" s="107" t="s">
        <v>107</v>
      </c>
      <c r="P3" s="100" t="s">
        <v>176</v>
      </c>
      <c r="Q3" s="389"/>
      <c r="R3" s="9"/>
      <c r="V3" s="47" t="s">
        <v>120</v>
      </c>
      <c r="W3" s="108" t="s">
        <v>187</v>
      </c>
      <c r="X3" s="109" t="s">
        <v>192</v>
      </c>
      <c r="Y3" s="109" t="s">
        <v>191</v>
      </c>
      <c r="Z3" s="109" t="s">
        <v>186</v>
      </c>
      <c r="AA3" s="109" t="s">
        <v>193</v>
      </c>
      <c r="AB3" s="109" t="s">
        <v>171</v>
      </c>
      <c r="AC3" s="109" t="s">
        <v>172</v>
      </c>
      <c r="AD3" s="109" t="s">
        <v>173</v>
      </c>
      <c r="AE3" s="109" t="s">
        <v>174</v>
      </c>
      <c r="AF3" s="109" t="s">
        <v>184</v>
      </c>
      <c r="AG3" s="110" t="s">
        <v>194</v>
      </c>
      <c r="AH3" s="109" t="s">
        <v>175</v>
      </c>
      <c r="AI3" s="111" t="s">
        <v>176</v>
      </c>
      <c r="AJ3" s="8" t="s">
        <v>230</v>
      </c>
      <c r="AP3" s="392"/>
      <c r="AQ3" s="393"/>
      <c r="AR3" s="106" t="s">
        <v>187</v>
      </c>
      <c r="AS3" s="107" t="s">
        <v>49</v>
      </c>
      <c r="AT3" s="107" t="s">
        <v>27</v>
      </c>
      <c r="AU3" s="107" t="s">
        <v>186</v>
      </c>
      <c r="AV3" s="107" t="s">
        <v>193</v>
      </c>
      <c r="AW3" s="107" t="s">
        <v>8</v>
      </c>
      <c r="AX3" s="107" t="s">
        <v>9</v>
      </c>
      <c r="AY3" s="107" t="s">
        <v>10</v>
      </c>
      <c r="AZ3" s="107" t="s">
        <v>11</v>
      </c>
      <c r="BA3" s="100" t="s">
        <v>184</v>
      </c>
      <c r="BB3" s="100" t="s">
        <v>12</v>
      </c>
      <c r="BC3" s="107" t="s">
        <v>107</v>
      </c>
      <c r="BD3" s="100" t="s">
        <v>176</v>
      </c>
      <c r="BE3" s="389"/>
    </row>
    <row r="4" spans="1:57" s="28" customFormat="1" ht="13.5" customHeight="1">
      <c r="A4" s="29"/>
      <c r="B4" s="30" t="s">
        <v>45</v>
      </c>
      <c r="C4" s="31"/>
      <c r="D4" s="32">
        <f>COUNTIF('自動車台帳'!$BG$5:$BG$304,"1乗")</f>
        <v>0</v>
      </c>
      <c r="E4" s="32">
        <f>COUNTIF('自動車台帳'!$BG$5:$BG$304,"2乗")</f>
        <v>0</v>
      </c>
      <c r="F4" s="32">
        <f>COUNTIF('自動車台帳'!$BG$5:$BG$304,"3乗")</f>
        <v>0</v>
      </c>
      <c r="G4" s="32">
        <f>COUNTIF('自動車台帳'!$BG$5:$BG$304,"4乗")</f>
        <v>0</v>
      </c>
      <c r="H4" s="32">
        <f>COUNTIF('自動車台帳'!$BG$5:$BG$304,"5乗")</f>
        <v>0</v>
      </c>
      <c r="I4" s="32">
        <f>COUNTIF('自動車台帳'!$BG$5:$BG$304,"6乗")</f>
        <v>0</v>
      </c>
      <c r="J4" s="32">
        <f>COUNTIF('自動車台帳'!$BG$5:$BG$304,"7乗")</f>
        <v>0</v>
      </c>
      <c r="K4" s="32">
        <f>COUNTIF('自動車台帳'!$BG$5:$BG$304,"8乗")</f>
        <v>0</v>
      </c>
      <c r="L4" s="32">
        <f>COUNTIF('自動車台帳'!$BG$5:$BG$304,"9乗")</f>
        <v>0</v>
      </c>
      <c r="M4" s="32">
        <f>COUNTIF('自動車台帳'!$BG$5:$BG$304,"10乗")</f>
        <v>0</v>
      </c>
      <c r="N4" s="32">
        <f>COUNTIF('自動車台帳'!$BG$5:$BG$304,"11乗")</f>
        <v>0</v>
      </c>
      <c r="O4" s="32">
        <f>COUNTIF('自動車台帳'!$BG$5:$BG$304,"12乗")</f>
        <v>0</v>
      </c>
      <c r="P4" s="32">
        <f>COUNTIF('自動車台帳'!$BG$5:$BG$304,"13乗")</f>
        <v>0</v>
      </c>
      <c r="Q4" s="32">
        <f aca="true" t="shared" si="0" ref="Q4:Q10">SUM(D4:P4)</f>
        <v>0</v>
      </c>
      <c r="R4" s="33"/>
      <c r="V4" s="48" t="s">
        <v>234</v>
      </c>
      <c r="W4" s="49">
        <f aca="true" t="shared" si="1" ref="W4:W9">D4*$Y21*$AD$21</f>
        <v>0</v>
      </c>
      <c r="X4" s="50">
        <f aca="true" t="shared" si="2" ref="X4:X9">E4*$Y21*$AD$22</f>
        <v>0</v>
      </c>
      <c r="Y4" s="50">
        <f aca="true" t="shared" si="3" ref="Y4:Y9">F4*$Y21*$AD$23</f>
        <v>0</v>
      </c>
      <c r="Z4" s="50">
        <f aca="true" t="shared" si="4" ref="Z4:Z9">G4*$Y21*$AD$24</f>
        <v>0</v>
      </c>
      <c r="AA4" s="50">
        <f aca="true" t="shared" si="5" ref="AA4:AB9">H4*$Y21*$AD$25</f>
        <v>0</v>
      </c>
      <c r="AB4" s="50">
        <f t="shared" si="5"/>
        <v>0</v>
      </c>
      <c r="AC4" s="50">
        <f aca="true" t="shared" si="6" ref="AC4:AC9">J4*$Y21*$AD$27</f>
        <v>0</v>
      </c>
      <c r="AD4" s="50">
        <f aca="true" t="shared" si="7" ref="AD4:AD9">K4*$Y21*$AD$28</f>
        <v>0</v>
      </c>
      <c r="AE4" s="50">
        <f aca="true" t="shared" si="8" ref="AE4:AE9">L4*$Y21*$AD$29</f>
        <v>0</v>
      </c>
      <c r="AF4" s="51"/>
      <c r="AG4" s="51"/>
      <c r="AH4" s="50">
        <f aca="true" t="shared" si="9" ref="AH4:AH9">O4*$Y21*$AD$29</f>
        <v>0</v>
      </c>
      <c r="AI4" s="52"/>
      <c r="AJ4" s="53">
        <f aca="true" t="shared" si="10" ref="AJ4:AJ9">Q4*$Y21</f>
        <v>0</v>
      </c>
      <c r="AK4" s="54" t="s">
        <v>180</v>
      </c>
      <c r="AL4" s="54">
        <f>SUM(W4:AE4)+AH4</f>
        <v>0</v>
      </c>
      <c r="AM4" s="54" t="s">
        <v>181</v>
      </c>
      <c r="AN4" s="54">
        <f>AJ4</f>
        <v>0</v>
      </c>
      <c r="AP4" s="30" t="s">
        <v>45</v>
      </c>
      <c r="AQ4" s="31"/>
      <c r="AR4" s="113">
        <f>SUMIF('自動車台帳'!$BG$5:$BG$304,"1乗",'自動車台帳'!AD5:AD304)</f>
        <v>0</v>
      </c>
      <c r="AS4" s="113">
        <f>SUMIF('自動車台帳'!$BG$5:$BG$304,"2乗",'自動車台帳'!$AD$5:$AD$304)</f>
        <v>0</v>
      </c>
      <c r="AT4" s="113">
        <f>SUMIF('自動車台帳'!$BG$5:$BG$304,"3乗",'自動車台帳'!$AD$5:$AD$304)</f>
        <v>0</v>
      </c>
      <c r="AU4" s="113">
        <f>SUMIF('自動車台帳'!$BG$5:$BG$304,"4乗",'自動車台帳'!$AD$5:$AD$304)</f>
        <v>0</v>
      </c>
      <c r="AV4" s="113">
        <f>SUMIF('自動車台帳'!$BG$5:$BG$304,"5乗",'自動車台帳'!$AD$5:$AD$304)</f>
        <v>0</v>
      </c>
      <c r="AW4" s="113">
        <f>SUMIF('自動車台帳'!$BG$5:$BG$304,"6乗",'自動車台帳'!$AD$5:$AD$304)</f>
        <v>0</v>
      </c>
      <c r="AX4" s="113">
        <f>SUMIF('自動車台帳'!$BG$5:$BG$304,"7乗",'自動車台帳'!$AD$5:$AD$304)</f>
        <v>0</v>
      </c>
      <c r="AY4" s="113">
        <f>SUMIF('自動車台帳'!$BG$5:$BG$304,"8乗",'自動車台帳'!$AD$5:$AD$304)</f>
        <v>0</v>
      </c>
      <c r="AZ4" s="113">
        <f>SUMIF('自動車台帳'!$BG$5:$BG$304,"9乗",'自動車台帳'!$AD$5:$AD$304)</f>
        <v>0</v>
      </c>
      <c r="BA4" s="113">
        <f>SUMIF('自動車台帳'!$BG$5:$BG$304,"10乗",'自動車台帳'!$AD$5:$AD$304)</f>
        <v>0</v>
      </c>
      <c r="BB4" s="113">
        <f>SUMIF('自動車台帳'!$BG$5:$BG$304,"11乗",'自動車台帳'!$AD$5:$AD$304)</f>
        <v>0</v>
      </c>
      <c r="BC4" s="113">
        <f>SUMIF('自動車台帳'!$BG$5:$BG$304,"12乗",'自動車台帳'!$AD$5:$AD$304)</f>
        <v>0</v>
      </c>
      <c r="BD4" s="113">
        <f>SUMIF('自動車台帳'!$BG$5:$BG$304,"13乗",'自動車台帳'!$AD$5:$AD$304)</f>
        <v>0</v>
      </c>
      <c r="BE4" s="113">
        <f aca="true" t="shared" si="11" ref="BE4:BE10">SUM(AR4:BD4)</f>
        <v>0</v>
      </c>
    </row>
    <row r="5" spans="1:57" s="28" customFormat="1" ht="13.5" customHeight="1">
      <c r="A5" s="29"/>
      <c r="B5" s="30" t="s">
        <v>177</v>
      </c>
      <c r="C5" s="34"/>
      <c r="D5" s="32">
        <f>COUNTIF('自動車台帳'!$BG$5:$BG$304,"1貨1")</f>
        <v>0</v>
      </c>
      <c r="E5" s="32">
        <f>COUNTIF('自動車台帳'!$BG$5:$BG$304,"2貨1")</f>
        <v>0</v>
      </c>
      <c r="F5" s="32">
        <f>COUNTIF('自動車台帳'!$BG$5:$BG$304,"3貨1")</f>
        <v>0</v>
      </c>
      <c r="G5" s="32">
        <f>COUNTIF('自動車台帳'!$BG$5:$BG$304,"4貨1")</f>
        <v>0</v>
      </c>
      <c r="H5" s="32">
        <f>COUNTIF('自動車台帳'!$BG$5:$BG$304,"5貨1")</f>
        <v>0</v>
      </c>
      <c r="I5" s="32">
        <f>COUNTIF('自動車台帳'!$BG$5:$BG$304,"6貨1")</f>
        <v>0</v>
      </c>
      <c r="J5" s="32">
        <f>COUNTIF('自動車台帳'!$BG$5:$BG$304,"7貨1")</f>
        <v>0</v>
      </c>
      <c r="K5" s="32">
        <f>COUNTIF('自動車台帳'!$BG$5:$BG$304,"8貨1")</f>
        <v>0</v>
      </c>
      <c r="L5" s="32">
        <f>COUNTIF('自動車台帳'!$BG$5:$BG$304,"9貨1")</f>
        <v>0</v>
      </c>
      <c r="M5" s="32">
        <f>COUNTIF('自動車台帳'!$BG$5:$BG$304,"10貨1")</f>
        <v>0</v>
      </c>
      <c r="N5" s="32">
        <f>COUNTIF('自動車台帳'!$BG$5:$BG$304,"11貨1")</f>
        <v>0</v>
      </c>
      <c r="O5" s="32">
        <f>COUNTIF('自動車台帳'!$BG$5:$BG$304,"12貨1")</f>
        <v>0</v>
      </c>
      <c r="P5" s="32">
        <f>COUNTIF('自動車台帳'!$BG$5:$BG$304,"13貨1")</f>
        <v>0</v>
      </c>
      <c r="Q5" s="32">
        <f t="shared" si="0"/>
        <v>0</v>
      </c>
      <c r="R5" s="33"/>
      <c r="V5" s="55" t="s">
        <v>177</v>
      </c>
      <c r="W5" s="56">
        <f t="shared" si="1"/>
        <v>0</v>
      </c>
      <c r="X5" s="57">
        <f t="shared" si="2"/>
        <v>0</v>
      </c>
      <c r="Y5" s="57">
        <f t="shared" si="3"/>
        <v>0</v>
      </c>
      <c r="Z5" s="57">
        <f t="shared" si="4"/>
        <v>0</v>
      </c>
      <c r="AA5" s="57">
        <f t="shared" si="5"/>
        <v>0</v>
      </c>
      <c r="AB5" s="57">
        <f t="shared" si="5"/>
        <v>0</v>
      </c>
      <c r="AC5" s="57">
        <f t="shared" si="6"/>
        <v>0</v>
      </c>
      <c r="AD5" s="57">
        <f t="shared" si="7"/>
        <v>0</v>
      </c>
      <c r="AE5" s="57">
        <f t="shared" si="8"/>
        <v>0</v>
      </c>
      <c r="AF5" s="58"/>
      <c r="AG5" s="58"/>
      <c r="AH5" s="57">
        <f t="shared" si="9"/>
        <v>0</v>
      </c>
      <c r="AI5" s="59"/>
      <c r="AJ5" s="60">
        <f t="shared" si="10"/>
        <v>0</v>
      </c>
      <c r="AK5" s="54" t="s">
        <v>180</v>
      </c>
      <c r="AL5" s="54">
        <f>SUM(W5:AE8)</f>
        <v>0</v>
      </c>
      <c r="AM5" s="54" t="s">
        <v>181</v>
      </c>
      <c r="AN5" s="54">
        <f>SUM(AJ5:AJ8)</f>
        <v>0</v>
      </c>
      <c r="AP5" s="30" t="s">
        <v>177</v>
      </c>
      <c r="AQ5" s="34"/>
      <c r="AR5" s="113">
        <f>SUMIF('自動車台帳'!$BG$5:$BG$304,"1貨1",'自動車台帳'!$AD$5:$AD$304)</f>
        <v>0</v>
      </c>
      <c r="AS5" s="113">
        <f>SUMIF('自動車台帳'!$BG$5:$BG$304,"2貨1",'自動車台帳'!$AD$5:$AD$304)</f>
        <v>0</v>
      </c>
      <c r="AT5" s="113">
        <f>SUMIF('自動車台帳'!$BG$5:$BG$304,"3貨1",'自動車台帳'!$AD$5:$AD$304)</f>
        <v>0</v>
      </c>
      <c r="AU5" s="113">
        <f>SUMIF('自動車台帳'!$BG$5:$BG$304,"4貨1",'自動車台帳'!$AD$5:$AD$304)</f>
        <v>0</v>
      </c>
      <c r="AV5" s="113">
        <f>SUMIF('自動車台帳'!$BG$5:$BG$304,"5貨1",'自動車台帳'!$AD$5:$AD$304)</f>
        <v>0</v>
      </c>
      <c r="AW5" s="113">
        <f>SUMIF('自動車台帳'!$BG$5:$BG$304,"6貨1",'自動車台帳'!$AD$5:$AD$304)</f>
        <v>0</v>
      </c>
      <c r="AX5" s="113">
        <f>SUMIF('自動車台帳'!$BG$5:$BG$304,"7貨1",'自動車台帳'!$AD$5:$AD$304)</f>
        <v>0</v>
      </c>
      <c r="AY5" s="113">
        <f>SUMIF('自動車台帳'!$BG$5:$BG$304,"8貨1",'自動車台帳'!$AD$5:$AD$304)</f>
        <v>0</v>
      </c>
      <c r="AZ5" s="113">
        <f>SUMIF('自動車台帳'!$BG$5:$BG$304,"9貨1",'自動車台帳'!$AD$5:$AD$304)</f>
        <v>0</v>
      </c>
      <c r="BA5" s="113">
        <f>SUMIF('自動車台帳'!$BG$5:$BG$304,"10貨1",'自動車台帳'!$AD$5:$AD$304)</f>
        <v>0</v>
      </c>
      <c r="BB5" s="113">
        <f>SUMIF('自動車台帳'!$BG$5:$BG$304,"11貨1",'自動車台帳'!$AD$5:$AD$304)</f>
        <v>0</v>
      </c>
      <c r="BC5" s="113">
        <f>SUMIF('自動車台帳'!$BG$5:$BG$304,"12貨1",'自動車台帳'!$AD$5:$AD$304)</f>
        <v>0</v>
      </c>
      <c r="BD5" s="113">
        <f>SUMIF('自動車台帳'!$BG$5:$BG$304,"13貨1",'自動車台帳'!$AD$5:$AD$304)</f>
        <v>0</v>
      </c>
      <c r="BE5" s="113">
        <f t="shared" si="11"/>
        <v>0</v>
      </c>
    </row>
    <row r="6" spans="1:57" s="28" customFormat="1" ht="13.5" customHeight="1">
      <c r="A6" s="29"/>
      <c r="B6" s="30" t="s">
        <v>178</v>
      </c>
      <c r="C6" s="34"/>
      <c r="D6" s="32">
        <f>COUNTIF('自動車台帳'!$BG$5:$BG$304,"1貨2")</f>
        <v>0</v>
      </c>
      <c r="E6" s="32">
        <f>COUNTIF('自動車台帳'!$BG$5:$BG$304,"2貨2")</f>
        <v>0</v>
      </c>
      <c r="F6" s="32">
        <f>COUNTIF('自動車台帳'!$BG$5:$BG$304,"3貨2")</f>
        <v>0</v>
      </c>
      <c r="G6" s="32">
        <f>COUNTIF('自動車台帳'!$BG$5:$BG$304,"4貨2")</f>
        <v>0</v>
      </c>
      <c r="H6" s="32">
        <f>COUNTIF('自動車台帳'!$BG$5:$BG$304,"5貨2")</f>
        <v>0</v>
      </c>
      <c r="I6" s="32">
        <f>COUNTIF('自動車台帳'!$BG$5:$BG$304,"6貨2")</f>
        <v>0</v>
      </c>
      <c r="J6" s="32">
        <f>COUNTIF('自動車台帳'!$BG$5:$BG$304,"7貨2")</f>
        <v>0</v>
      </c>
      <c r="K6" s="32">
        <f>COUNTIF('自動車台帳'!$BG$5:$BG$304,"8貨2")</f>
        <v>0</v>
      </c>
      <c r="L6" s="32">
        <f>COUNTIF('自動車台帳'!$BG$5:$BG$304,"9貨2")</f>
        <v>0</v>
      </c>
      <c r="M6" s="32">
        <f>COUNTIF('自動車台帳'!$BG$5:$BG$304,"10貨2")</f>
        <v>0</v>
      </c>
      <c r="N6" s="32">
        <f>COUNTIF('自動車台帳'!$BG$5:$BG$304,"11貨2")</f>
        <v>0</v>
      </c>
      <c r="O6" s="32">
        <f>COUNTIF('自動車台帳'!$BG$5:$BG$304,"12貨2")</f>
        <v>0</v>
      </c>
      <c r="P6" s="32">
        <f>COUNTIF('自動車台帳'!$BG$5:$BG$304,"13貨2")</f>
        <v>0</v>
      </c>
      <c r="Q6" s="32">
        <f t="shared" si="0"/>
        <v>0</v>
      </c>
      <c r="R6" s="33"/>
      <c r="V6" s="55" t="s">
        <v>178</v>
      </c>
      <c r="W6" s="56">
        <f t="shared" si="1"/>
        <v>0</v>
      </c>
      <c r="X6" s="57">
        <f t="shared" si="2"/>
        <v>0</v>
      </c>
      <c r="Y6" s="57">
        <f t="shared" si="3"/>
        <v>0</v>
      </c>
      <c r="Z6" s="57">
        <f t="shared" si="4"/>
        <v>0</v>
      </c>
      <c r="AA6" s="57">
        <f t="shared" si="5"/>
        <v>0</v>
      </c>
      <c r="AB6" s="57">
        <f t="shared" si="5"/>
        <v>0</v>
      </c>
      <c r="AC6" s="57">
        <f t="shared" si="6"/>
        <v>0</v>
      </c>
      <c r="AD6" s="57">
        <f t="shared" si="7"/>
        <v>0</v>
      </c>
      <c r="AE6" s="57">
        <f t="shared" si="8"/>
        <v>0</v>
      </c>
      <c r="AF6" s="58"/>
      <c r="AG6" s="58"/>
      <c r="AH6" s="57">
        <f t="shared" si="9"/>
        <v>0</v>
      </c>
      <c r="AI6" s="59"/>
      <c r="AJ6" s="60">
        <f t="shared" si="10"/>
        <v>0</v>
      </c>
      <c r="AK6" s="54"/>
      <c r="AL6" s="54"/>
      <c r="AM6" s="54"/>
      <c r="AN6" s="54"/>
      <c r="AP6" s="30" t="s">
        <v>178</v>
      </c>
      <c r="AQ6" s="34"/>
      <c r="AR6" s="113">
        <f>SUMIF('自動車台帳'!$BG$5:$BG$304,"1貨2",'自動車台帳'!$AD$5:$AD$304)</f>
        <v>0</v>
      </c>
      <c r="AS6" s="113">
        <f>SUMIF('自動車台帳'!$BG$5:$BG$304,"2貨2",'自動車台帳'!$AD$5:$AD$304)</f>
        <v>0</v>
      </c>
      <c r="AT6" s="113">
        <f>SUMIF('自動車台帳'!$BG$5:$BG$304,"3貨2",'自動車台帳'!$AD$5:$AD$304)</f>
        <v>0</v>
      </c>
      <c r="AU6" s="113">
        <f>SUMIF('自動車台帳'!$BG$5:$BG$304,"4貨2",'自動車台帳'!$AD$5:$AD$304)</f>
        <v>0</v>
      </c>
      <c r="AV6" s="113">
        <f>SUMIF('自動車台帳'!$BG$5:$BG$304,"5貨2",'自動車台帳'!$AD$5:$AD$304)</f>
        <v>0</v>
      </c>
      <c r="AW6" s="113">
        <f>SUMIF('自動車台帳'!$BG$5:$BG$304,"6貨2",'自動車台帳'!$AD$5:$AD$304)</f>
        <v>0</v>
      </c>
      <c r="AX6" s="113">
        <f>SUMIF('自動車台帳'!$BG$5:$BG$304,"7貨2",'自動車台帳'!$AD$5:$AD$304)</f>
        <v>0</v>
      </c>
      <c r="AY6" s="113">
        <f>SUMIF('自動車台帳'!$BG$5:$BG$304,"8貨2",'自動車台帳'!$AD$5:$AD$304)</f>
        <v>0</v>
      </c>
      <c r="AZ6" s="113">
        <f>SUMIF('自動車台帳'!$BG$5:$BG$304,"9貨2",'自動車台帳'!$AD$5:$AD$304)</f>
        <v>0</v>
      </c>
      <c r="BA6" s="113">
        <f>SUMIF('自動車台帳'!$BG$5:$BG$304,"10貨2",'自動車台帳'!$AD$5:$AD$304)</f>
        <v>0</v>
      </c>
      <c r="BB6" s="113">
        <f>SUMIF('自動車台帳'!$BG$5:$BG$304,"11貨2",'自動車台帳'!$AD$5:$AD$304)</f>
        <v>0</v>
      </c>
      <c r="BC6" s="113">
        <f>SUMIF('自動車台帳'!$BG$5:$BG$304,"12貨2",'自動車台帳'!$AD$5:$AD$304)</f>
        <v>0</v>
      </c>
      <c r="BD6" s="113">
        <f>SUMIF('自動車台帳'!$BG$5:$BG$304,"13貨2",'自動車台帳'!$AD$5:$AD$304)</f>
        <v>0</v>
      </c>
      <c r="BE6" s="113">
        <f t="shared" si="11"/>
        <v>0</v>
      </c>
    </row>
    <row r="7" spans="1:57" s="28" customFormat="1" ht="13.5" customHeight="1">
      <c r="A7" s="29"/>
      <c r="B7" s="30" t="s">
        <v>179</v>
      </c>
      <c r="C7" s="34"/>
      <c r="D7" s="32">
        <f>COUNTIF('自動車台帳'!$BG$5:$BG$304,"1貨3")</f>
        <v>0</v>
      </c>
      <c r="E7" s="32">
        <f>COUNTIF('自動車台帳'!$BG$5:$BG$304,"2貨3")</f>
        <v>0</v>
      </c>
      <c r="F7" s="32">
        <f>COUNTIF('自動車台帳'!$BG$5:$BG$304,"3貨3")</f>
        <v>0</v>
      </c>
      <c r="G7" s="32">
        <f>COUNTIF('自動車台帳'!$BG$5:$BG$304,"4貨3")</f>
        <v>0</v>
      </c>
      <c r="H7" s="32">
        <f>COUNTIF('自動車台帳'!$BG$5:$BG$304,"5貨3")</f>
        <v>0</v>
      </c>
      <c r="I7" s="32">
        <f>COUNTIF('自動車台帳'!$BG$5:$BG$304,"6貨3")</f>
        <v>0</v>
      </c>
      <c r="J7" s="32">
        <f>COUNTIF('自動車台帳'!$BG$5:$BG$304,"7貨3")</f>
        <v>0</v>
      </c>
      <c r="K7" s="32">
        <f>COUNTIF('自動車台帳'!$BG$5:$BG$304,"8貨3")</f>
        <v>0</v>
      </c>
      <c r="L7" s="32">
        <f>COUNTIF('自動車台帳'!$BG$5:$BG$304,"9貨3")</f>
        <v>0</v>
      </c>
      <c r="M7" s="32">
        <f>COUNTIF('自動車台帳'!$BG$5:$BG$304,"10貨3")</f>
        <v>0</v>
      </c>
      <c r="N7" s="32">
        <f>COUNTIF('自動車台帳'!$BG$5:$BG$304,"11貨3")</f>
        <v>0</v>
      </c>
      <c r="O7" s="32">
        <f>COUNTIF('自動車台帳'!$BG$5:$BG$304,"12貨3")</f>
        <v>0</v>
      </c>
      <c r="P7" s="32">
        <f>COUNTIF('自動車台帳'!$BG$5:$BG$304,"13貨3")</f>
        <v>0</v>
      </c>
      <c r="Q7" s="32">
        <f t="shared" si="0"/>
        <v>0</v>
      </c>
      <c r="R7" s="33"/>
      <c r="V7" s="55" t="s">
        <v>179</v>
      </c>
      <c r="W7" s="56">
        <f t="shared" si="1"/>
        <v>0</v>
      </c>
      <c r="X7" s="57">
        <f t="shared" si="2"/>
        <v>0</v>
      </c>
      <c r="Y7" s="57">
        <f t="shared" si="3"/>
        <v>0</v>
      </c>
      <c r="Z7" s="57">
        <f t="shared" si="4"/>
        <v>0</v>
      </c>
      <c r="AA7" s="57">
        <f t="shared" si="5"/>
        <v>0</v>
      </c>
      <c r="AB7" s="57">
        <f t="shared" si="5"/>
        <v>0</v>
      </c>
      <c r="AC7" s="57">
        <f t="shared" si="6"/>
        <v>0</v>
      </c>
      <c r="AD7" s="57">
        <f t="shared" si="7"/>
        <v>0</v>
      </c>
      <c r="AE7" s="57">
        <f t="shared" si="8"/>
        <v>0</v>
      </c>
      <c r="AF7" s="58"/>
      <c r="AG7" s="58"/>
      <c r="AH7" s="57">
        <f t="shared" si="9"/>
        <v>0</v>
      </c>
      <c r="AI7" s="59"/>
      <c r="AJ7" s="60">
        <f t="shared" si="10"/>
        <v>0</v>
      </c>
      <c r="AK7" s="54"/>
      <c r="AL7" s="54"/>
      <c r="AM7" s="54"/>
      <c r="AN7" s="54"/>
      <c r="AP7" s="30" t="s">
        <v>179</v>
      </c>
      <c r="AQ7" s="34"/>
      <c r="AR7" s="113">
        <f>SUMIF('自動車台帳'!$BG$5:$BG$304,"1貨3",'自動車台帳'!$AD$5:$AD$304)</f>
        <v>0</v>
      </c>
      <c r="AS7" s="113">
        <f>SUMIF('自動車台帳'!$BG$5:$BG$304,"2貨3",'自動車台帳'!$AD$5:$AD$304)</f>
        <v>0</v>
      </c>
      <c r="AT7" s="113">
        <f>SUMIF('自動車台帳'!$BG$5:$BG$304,"3貨3",'自動車台帳'!$AD$5:$AD$304)</f>
        <v>0</v>
      </c>
      <c r="AU7" s="113">
        <f>SUMIF('自動車台帳'!$BG$5:$BG$304,"4貨3",'自動車台帳'!$AD$5:$AD$304)</f>
        <v>0</v>
      </c>
      <c r="AV7" s="113">
        <f>SUMIF('自動車台帳'!$BG$5:$BG$304,"5貨3",'自動車台帳'!$AD$5:$AD$304)</f>
        <v>0</v>
      </c>
      <c r="AW7" s="113">
        <f>SUMIF('自動車台帳'!$BG$5:$BG$304,"6貨3",'自動車台帳'!$AD$5:$AD$304)</f>
        <v>0</v>
      </c>
      <c r="AX7" s="113">
        <f>SUMIF('自動車台帳'!$BG$5:$BG$304,"7貨3",'自動車台帳'!$AD$5:$AD$304)</f>
        <v>0</v>
      </c>
      <c r="AY7" s="113">
        <f>SUMIF('自動車台帳'!$BG$5:$BG$304,"8貨3",'自動車台帳'!$AD$5:$AD$304)</f>
        <v>0</v>
      </c>
      <c r="AZ7" s="113">
        <f>SUMIF('自動車台帳'!$BG$5:$BG$304,"9貨3",'自動車台帳'!$AD$5:$AD$304)</f>
        <v>0</v>
      </c>
      <c r="BA7" s="113">
        <f>SUMIF('自動車台帳'!$BG$5:$BG$304,"10貨3",'自動車台帳'!$AD$5:$AD$304)</f>
        <v>0</v>
      </c>
      <c r="BB7" s="113">
        <f>SUMIF('自動車台帳'!$BG$5:$BG$304,"11貨3",'自動車台帳'!$AD$5:$AD$304)</f>
        <v>0</v>
      </c>
      <c r="BC7" s="113">
        <f>SUMIF('自動車台帳'!$BG$5:$BG$304,"12貨3",'自動車台帳'!$AD$5:$AD$304)</f>
        <v>0</v>
      </c>
      <c r="BD7" s="113">
        <f>SUMIF('自動車台帳'!$BG$5:$BG$304,"13貨3",'自動車台帳'!$AD$5:$AD$304)</f>
        <v>0</v>
      </c>
      <c r="BE7" s="113">
        <f t="shared" si="11"/>
        <v>0</v>
      </c>
    </row>
    <row r="8" spans="1:57" s="28" customFormat="1" ht="13.5" customHeight="1">
      <c r="A8" s="29"/>
      <c r="B8" s="30" t="s">
        <v>146</v>
      </c>
      <c r="C8" s="34"/>
      <c r="D8" s="32">
        <f>COUNTIF('自動車台帳'!$BG$5:$BG$304,"1小")</f>
        <v>0</v>
      </c>
      <c r="E8" s="32">
        <f>COUNTIF('自動車台帳'!$BG$5:$BG$304,"2小")</f>
        <v>0</v>
      </c>
      <c r="F8" s="32">
        <f>COUNTIF('自動車台帳'!$BG$5:$BG$304,"3小")</f>
        <v>0</v>
      </c>
      <c r="G8" s="32">
        <f>COUNTIF('自動車台帳'!$BG$5:$BG$304,"4小")</f>
        <v>0</v>
      </c>
      <c r="H8" s="32">
        <f>COUNTIF('自動車台帳'!$BG$5:$BG$304,"5小")</f>
        <v>0</v>
      </c>
      <c r="I8" s="32">
        <f>COUNTIF('自動車台帳'!$BG$5:$BG$304,"6小")</f>
        <v>0</v>
      </c>
      <c r="J8" s="32">
        <f>COUNTIF('自動車台帳'!$BG$5:$BG$304,"7小")</f>
        <v>0</v>
      </c>
      <c r="K8" s="32">
        <f>COUNTIF('自動車台帳'!$BG$5:$BG$304,"8小")</f>
        <v>0</v>
      </c>
      <c r="L8" s="32">
        <f>COUNTIF('自動車台帳'!$BG$5:$BG$304,"9小")</f>
        <v>0</v>
      </c>
      <c r="M8" s="32">
        <f>COUNTIF('自動車台帳'!$BG$5:$BG$304,"10小")</f>
        <v>0</v>
      </c>
      <c r="N8" s="32">
        <f>COUNTIF('自動車台帳'!$BG$5:$BG$304,"11小")</f>
        <v>0</v>
      </c>
      <c r="O8" s="32">
        <f>COUNTIF('自動車台帳'!$BG$5:$BG$304,"12小")</f>
        <v>0</v>
      </c>
      <c r="P8" s="32">
        <f>COUNTIF('自動車台帳'!$BG$5:$BG$304,"13小")</f>
        <v>0</v>
      </c>
      <c r="Q8" s="32">
        <f t="shared" si="0"/>
        <v>0</v>
      </c>
      <c r="R8" s="33"/>
      <c r="V8" s="55" t="s">
        <v>146</v>
      </c>
      <c r="W8" s="56">
        <f t="shared" si="1"/>
        <v>0</v>
      </c>
      <c r="X8" s="57">
        <f t="shared" si="2"/>
        <v>0</v>
      </c>
      <c r="Y8" s="57">
        <f t="shared" si="3"/>
        <v>0</v>
      </c>
      <c r="Z8" s="57">
        <f t="shared" si="4"/>
        <v>0</v>
      </c>
      <c r="AA8" s="57">
        <f t="shared" si="5"/>
        <v>0</v>
      </c>
      <c r="AB8" s="57">
        <f t="shared" si="5"/>
        <v>0</v>
      </c>
      <c r="AC8" s="57">
        <f t="shared" si="6"/>
        <v>0</v>
      </c>
      <c r="AD8" s="57">
        <f t="shared" si="7"/>
        <v>0</v>
      </c>
      <c r="AE8" s="57">
        <f t="shared" si="8"/>
        <v>0</v>
      </c>
      <c r="AF8" s="58"/>
      <c r="AG8" s="58"/>
      <c r="AH8" s="57">
        <f t="shared" si="9"/>
        <v>0</v>
      </c>
      <c r="AI8" s="59"/>
      <c r="AJ8" s="60">
        <f t="shared" si="10"/>
        <v>0</v>
      </c>
      <c r="AK8" s="54"/>
      <c r="AL8" s="54"/>
      <c r="AM8" s="54"/>
      <c r="AN8" s="54"/>
      <c r="AP8" s="30" t="s">
        <v>146</v>
      </c>
      <c r="AQ8" s="34"/>
      <c r="AR8" s="113">
        <f>SUMIF('自動車台帳'!$BG$5:$BG$304,"1小",'自動車台帳'!$AD$5:$AD$304)</f>
        <v>0</v>
      </c>
      <c r="AS8" s="113">
        <f>SUMIF('自動車台帳'!$BG$5:$BG$304,"2小",'自動車台帳'!$AD$5:$AD$304)</f>
        <v>0</v>
      </c>
      <c r="AT8" s="113">
        <f>SUMIF('自動車台帳'!$BG$5:$BG$304,"3小",'自動車台帳'!$AD$5:$AD$304)</f>
        <v>0</v>
      </c>
      <c r="AU8" s="113">
        <f>SUMIF('自動車台帳'!$BG$5:$BG$304,"4小",'自動車台帳'!$AD$5:$AD$304)</f>
        <v>0</v>
      </c>
      <c r="AV8" s="113">
        <f>SUMIF('自動車台帳'!$BG$5:$BG$304,"5小",'自動車台帳'!$AD$5:$AD$304)</f>
        <v>0</v>
      </c>
      <c r="AW8" s="113">
        <f>SUMIF('自動車台帳'!$BG$5:$BG$304,"6小",'自動車台帳'!$AD$5:$AD$304)</f>
        <v>0</v>
      </c>
      <c r="AX8" s="113">
        <f>SUMIF('自動車台帳'!$BG$5:$BG$304,"7小",'自動車台帳'!$AD$5:$AD$304)</f>
        <v>0</v>
      </c>
      <c r="AY8" s="113">
        <f>SUMIF('自動車台帳'!$BG$5:$BG$304,"8小",'自動車台帳'!$AD$5:$AD$304)</f>
        <v>0</v>
      </c>
      <c r="AZ8" s="113">
        <f>SUMIF('自動車台帳'!$BG$5:$BG$304,"9小",'自動車台帳'!$AD$5:$AD$304)</f>
        <v>0</v>
      </c>
      <c r="BA8" s="113">
        <f>SUMIF('自動車台帳'!$BG$5:$BG$304,"10小",'自動車台帳'!$AD$5:$AD$304)</f>
        <v>0</v>
      </c>
      <c r="BB8" s="113">
        <f>SUMIF('自動車台帳'!$BG$5:$BG$304,"11小",'自動車台帳'!$AD$5:$AD$304)</f>
        <v>0</v>
      </c>
      <c r="BC8" s="113">
        <f>SUMIF('自動車台帳'!$BG$5:$BG$304,"12小",'自動車台帳'!$AD$5:$AD$304)</f>
        <v>0</v>
      </c>
      <c r="BD8" s="113">
        <f>SUMIF('自動車台帳'!$BG$5:$BG$304,"13小",'自動車台帳'!$AD$5:$AD$304)</f>
        <v>0</v>
      </c>
      <c r="BE8" s="113">
        <f t="shared" si="11"/>
        <v>0</v>
      </c>
    </row>
    <row r="9" spans="1:57" s="28" customFormat="1" ht="13.5" customHeight="1" thickBot="1">
      <c r="A9" s="29"/>
      <c r="B9" s="30" t="s">
        <v>189</v>
      </c>
      <c r="C9" s="31"/>
      <c r="D9" s="32">
        <f>COUNTIF('自動車台帳'!$BG$5:$BG$304,"1バ")</f>
        <v>0</v>
      </c>
      <c r="E9" s="32">
        <f>COUNTIF('自動車台帳'!$BG$5:$BG$304,"2バ")</f>
        <v>0</v>
      </c>
      <c r="F9" s="32">
        <f>COUNTIF('自動車台帳'!$BG$5:$BG$304,"3バ")</f>
        <v>0</v>
      </c>
      <c r="G9" s="32">
        <f>COUNTIF('自動車台帳'!$BG$5:$BG$304,"4バ")</f>
        <v>0</v>
      </c>
      <c r="H9" s="32">
        <f>COUNTIF('自動車台帳'!$BG$5:$BG$304,"5バ")</f>
        <v>0</v>
      </c>
      <c r="I9" s="32">
        <f>COUNTIF('自動車台帳'!$BG$5:$BG$304,"6バ")</f>
        <v>0</v>
      </c>
      <c r="J9" s="32">
        <f>COUNTIF('自動車台帳'!$BG$5:$BG$304,"7バ")</f>
        <v>0</v>
      </c>
      <c r="K9" s="32">
        <f>COUNTIF('自動車台帳'!$BG$5:$BG$304,"8バ")</f>
        <v>0</v>
      </c>
      <c r="L9" s="32">
        <f>COUNTIF('自動車台帳'!$BG$5:$BG$304,"9バ")</f>
        <v>0</v>
      </c>
      <c r="M9" s="32">
        <f>COUNTIF('自動車台帳'!$BG$5:$BG$304,"10バ")</f>
        <v>0</v>
      </c>
      <c r="N9" s="32">
        <f>COUNTIF('自動車台帳'!$BG$5:$BG$304,"11バ")</f>
        <v>0</v>
      </c>
      <c r="O9" s="32">
        <f>COUNTIF('自動車台帳'!$BG$5:$BG$304,"12バ")</f>
        <v>0</v>
      </c>
      <c r="P9" s="32">
        <f>COUNTIF('自動車台帳'!$BG$5:$BG$304,"13バ")</f>
        <v>0</v>
      </c>
      <c r="Q9" s="32">
        <f t="shared" si="0"/>
        <v>0</v>
      </c>
      <c r="R9" s="33"/>
      <c r="V9" s="61" t="s">
        <v>189</v>
      </c>
      <c r="W9" s="62">
        <f t="shared" si="1"/>
        <v>0</v>
      </c>
      <c r="X9" s="63">
        <f t="shared" si="2"/>
        <v>0</v>
      </c>
      <c r="Y9" s="63">
        <f t="shared" si="3"/>
        <v>0</v>
      </c>
      <c r="Z9" s="63">
        <f t="shared" si="4"/>
        <v>0</v>
      </c>
      <c r="AA9" s="63">
        <f t="shared" si="5"/>
        <v>0</v>
      </c>
      <c r="AB9" s="63">
        <f t="shared" si="5"/>
        <v>0</v>
      </c>
      <c r="AC9" s="63">
        <f t="shared" si="6"/>
        <v>0</v>
      </c>
      <c r="AD9" s="63">
        <f t="shared" si="7"/>
        <v>0</v>
      </c>
      <c r="AE9" s="63">
        <f t="shared" si="8"/>
        <v>0</v>
      </c>
      <c r="AF9" s="64"/>
      <c r="AG9" s="64"/>
      <c r="AH9" s="63">
        <f t="shared" si="9"/>
        <v>0</v>
      </c>
      <c r="AI9" s="65"/>
      <c r="AJ9" s="66">
        <f t="shared" si="10"/>
        <v>0</v>
      </c>
      <c r="AK9" s="54" t="s">
        <v>180</v>
      </c>
      <c r="AL9" s="54">
        <f>SUM(W9:AE9)+AH9</f>
        <v>0</v>
      </c>
      <c r="AM9" s="54" t="s">
        <v>181</v>
      </c>
      <c r="AN9" s="54">
        <f>AJ9</f>
        <v>0</v>
      </c>
      <c r="AP9" s="30" t="s">
        <v>189</v>
      </c>
      <c r="AQ9" s="31"/>
      <c r="AR9" s="113">
        <f>SUMIF('自動車台帳'!$BG$5:$BG$304,"1バ",'自動車台帳'!$AD$5:$AD$304)</f>
        <v>0</v>
      </c>
      <c r="AS9" s="113">
        <f>SUMIF('自動車台帳'!$BG$5:$BG$304,"2バ",'自動車台帳'!$AD$5:$AD$304)</f>
        <v>0</v>
      </c>
      <c r="AT9" s="113">
        <f>SUMIF('自動車台帳'!$BG$5:$BG$304,"3バ",'自動車台帳'!$AD$5:$AD$304)</f>
        <v>0</v>
      </c>
      <c r="AU9" s="113">
        <f>SUMIF('自動車台帳'!$BG$5:$BG$304,"4バ",'自動車台帳'!$AD$5:$AD$304)</f>
        <v>0</v>
      </c>
      <c r="AV9" s="113">
        <f>SUMIF('自動車台帳'!$BG$5:$BG$304,"5バ",'自動車台帳'!$AD$5:$AD$304)</f>
        <v>0</v>
      </c>
      <c r="AW9" s="113">
        <f>SUMIF('自動車台帳'!$BG$5:$BG$304,"6バ",'自動車台帳'!$AD$5:$AD$304)</f>
        <v>0</v>
      </c>
      <c r="AX9" s="113">
        <f>SUMIF('自動車台帳'!$BG$5:$BG$304,"7バ",'自動車台帳'!$AD$5:$AD$304)</f>
        <v>0</v>
      </c>
      <c r="AY9" s="113">
        <f>SUMIF('自動車台帳'!$BG$5:$BG$304,"8バ",'自動車台帳'!$AD$5:$AD$304)</f>
        <v>0</v>
      </c>
      <c r="AZ9" s="113">
        <f>SUMIF('自動車台帳'!$BG$5:$BG$304,"9バ",'自動車台帳'!$AD$5:$AD$304)</f>
        <v>0</v>
      </c>
      <c r="BA9" s="113">
        <f>SUMIF('自動車台帳'!$BG$5:$BG$304,"10バ",'自動車台帳'!$AD$5:$AD$304)</f>
        <v>0</v>
      </c>
      <c r="BB9" s="113">
        <f>SUMIF('自動車台帳'!$BG$5:$BG$304,"11バ",'自動車台帳'!$AD$5:$AD$304)</f>
        <v>0</v>
      </c>
      <c r="BC9" s="113">
        <f>SUMIF('自動車台帳'!$BG$5:$BG$304,"12バ",'自動車台帳'!$AD$5:$AD$304)</f>
        <v>0</v>
      </c>
      <c r="BD9" s="113">
        <f>SUMIF('自動車台帳'!$BG$5:$BG$304,"13バ",'自動車台帳'!$AD$5:$AD$304)</f>
        <v>0</v>
      </c>
      <c r="BE9" s="113">
        <f t="shared" si="11"/>
        <v>0</v>
      </c>
    </row>
    <row r="10" spans="1:57" s="28" customFormat="1" ht="13.5" customHeight="1">
      <c r="A10" s="29"/>
      <c r="B10" s="35" t="s">
        <v>230</v>
      </c>
      <c r="C10" s="31"/>
      <c r="D10" s="32">
        <f aca="true" t="shared" si="12" ref="D10:P10">SUM(D4:D9)</f>
        <v>0</v>
      </c>
      <c r="E10" s="32">
        <f t="shared" si="12"/>
        <v>0</v>
      </c>
      <c r="F10" s="32">
        <f t="shared" si="12"/>
        <v>0</v>
      </c>
      <c r="G10" s="32">
        <f t="shared" si="12"/>
        <v>0</v>
      </c>
      <c r="H10" s="32">
        <f t="shared" si="12"/>
        <v>0</v>
      </c>
      <c r="I10" s="32">
        <f t="shared" si="12"/>
        <v>0</v>
      </c>
      <c r="J10" s="32">
        <f t="shared" si="12"/>
        <v>0</v>
      </c>
      <c r="K10" s="32">
        <f t="shared" si="12"/>
        <v>0</v>
      </c>
      <c r="L10" s="32">
        <f t="shared" si="12"/>
        <v>0</v>
      </c>
      <c r="M10" s="32">
        <f t="shared" si="12"/>
        <v>0</v>
      </c>
      <c r="N10" s="32">
        <f t="shared" si="12"/>
        <v>0</v>
      </c>
      <c r="O10" s="32">
        <f t="shared" si="12"/>
        <v>0</v>
      </c>
      <c r="P10" s="32">
        <f t="shared" si="12"/>
        <v>0</v>
      </c>
      <c r="Q10" s="32">
        <f t="shared" si="0"/>
        <v>0</v>
      </c>
      <c r="R10" s="33"/>
      <c r="V10" s="67"/>
      <c r="W10" s="36"/>
      <c r="X10" s="36"/>
      <c r="Y10" s="36"/>
      <c r="Z10" s="36"/>
      <c r="AA10" s="36"/>
      <c r="AK10" s="54" t="s">
        <v>180</v>
      </c>
      <c r="AL10" s="54">
        <f>SUM(W4:AE9)+SUM(AH4:AH9)</f>
        <v>0</v>
      </c>
      <c r="AM10" s="54" t="s">
        <v>181</v>
      </c>
      <c r="AN10" s="54">
        <f>SUM(AJ4:AJ9)</f>
        <v>0</v>
      </c>
      <c r="AP10" s="35" t="s">
        <v>230</v>
      </c>
      <c r="AQ10" s="31"/>
      <c r="AR10" s="113">
        <f aca="true" t="shared" si="13" ref="AR10:BD10">SUM(AR4:AR9)</f>
        <v>0</v>
      </c>
      <c r="AS10" s="113">
        <f t="shared" si="13"/>
        <v>0</v>
      </c>
      <c r="AT10" s="113">
        <f t="shared" si="13"/>
        <v>0</v>
      </c>
      <c r="AU10" s="113">
        <f t="shared" si="13"/>
        <v>0</v>
      </c>
      <c r="AV10" s="113">
        <f t="shared" si="13"/>
        <v>0</v>
      </c>
      <c r="AW10" s="113">
        <f t="shared" si="13"/>
        <v>0</v>
      </c>
      <c r="AX10" s="113">
        <f t="shared" si="13"/>
        <v>0</v>
      </c>
      <c r="AY10" s="113">
        <f t="shared" si="13"/>
        <v>0</v>
      </c>
      <c r="AZ10" s="113">
        <f t="shared" si="13"/>
        <v>0</v>
      </c>
      <c r="BA10" s="113">
        <f t="shared" si="13"/>
        <v>0</v>
      </c>
      <c r="BB10" s="113">
        <f t="shared" si="13"/>
        <v>0</v>
      </c>
      <c r="BC10" s="113">
        <f t="shared" si="13"/>
        <v>0</v>
      </c>
      <c r="BD10" s="113">
        <f t="shared" si="13"/>
        <v>0</v>
      </c>
      <c r="BE10" s="113">
        <f t="shared" si="11"/>
        <v>0</v>
      </c>
    </row>
    <row r="11" spans="1:18" s="28" customFormat="1" ht="3.75" customHeight="1" thickBot="1">
      <c r="A11" s="29"/>
      <c r="B11" s="33"/>
      <c r="C11" s="33"/>
      <c r="D11" s="33"/>
      <c r="E11" s="33"/>
      <c r="F11" s="33"/>
      <c r="G11" s="33"/>
      <c r="H11" s="33"/>
      <c r="I11" s="33"/>
      <c r="J11" s="33"/>
      <c r="K11" s="33"/>
      <c r="L11" s="33"/>
      <c r="M11" s="33"/>
      <c r="N11" s="33"/>
      <c r="O11" s="33"/>
      <c r="P11" s="33"/>
      <c r="Q11" s="33"/>
      <c r="R11" s="33"/>
    </row>
    <row r="12" spans="1:18" s="28" customFormat="1" ht="13.5" customHeight="1" thickBot="1">
      <c r="A12" s="29"/>
      <c r="B12" s="33"/>
      <c r="C12" s="33"/>
      <c r="D12" s="33"/>
      <c r="E12" s="33"/>
      <c r="F12" s="33"/>
      <c r="G12" s="33"/>
      <c r="M12" s="6"/>
      <c r="N12" s="7" t="s">
        <v>3</v>
      </c>
      <c r="O12" s="7"/>
      <c r="P12" s="68">
        <f>IF(Q10=0,0,AL10/AN10*100)</f>
        <v>0</v>
      </c>
      <c r="Q12" s="8" t="s">
        <v>183</v>
      </c>
      <c r="R12" s="9"/>
    </row>
    <row r="13" spans="1:10" s="28" customFormat="1" ht="6" customHeight="1" thickBot="1">
      <c r="A13" s="29"/>
      <c r="B13" s="33"/>
      <c r="C13" s="10"/>
      <c r="D13" s="36"/>
      <c r="E13" s="36"/>
      <c r="F13" s="36"/>
      <c r="G13" s="36"/>
      <c r="H13" s="38"/>
      <c r="I13" s="39"/>
      <c r="J13" s="36"/>
    </row>
    <row r="14" spans="1:19" s="28" customFormat="1" ht="13.5" customHeight="1" thickBot="1">
      <c r="A14" s="29"/>
      <c r="B14" s="40"/>
      <c r="C14" s="11"/>
      <c r="D14" s="11"/>
      <c r="E14" s="11"/>
      <c r="F14" s="11"/>
      <c r="G14" s="11"/>
      <c r="H14" s="11"/>
      <c r="I14" s="11"/>
      <c r="J14" s="11"/>
      <c r="K14" s="144"/>
      <c r="L14" s="145"/>
      <c r="M14" s="397" t="s">
        <v>240</v>
      </c>
      <c r="N14" s="398"/>
      <c r="O14" s="398"/>
      <c r="P14" s="399"/>
      <c r="Q14" s="400"/>
      <c r="R14" s="41"/>
      <c r="S14" s="42"/>
    </row>
    <row r="15" spans="1:19" s="28" customFormat="1" ht="13.5" customHeight="1" thickBot="1">
      <c r="A15" s="29"/>
      <c r="B15" s="40"/>
      <c r="C15" s="11"/>
      <c r="D15" s="11"/>
      <c r="E15" s="11"/>
      <c r="F15" s="11"/>
      <c r="G15" s="11"/>
      <c r="H15" s="11"/>
      <c r="I15" s="11"/>
      <c r="J15" s="11"/>
      <c r="K15" s="144" t="s">
        <v>318</v>
      </c>
      <c r="L15" s="145"/>
      <c r="M15" s="405"/>
      <c r="N15" s="406"/>
      <c r="O15" s="406"/>
      <c r="P15" s="406"/>
      <c r="Q15" s="407"/>
      <c r="R15" s="41"/>
      <c r="S15" s="42"/>
    </row>
    <row r="16" spans="1:34" s="28" customFormat="1" ht="13.5" customHeight="1" thickBot="1">
      <c r="A16" s="43"/>
      <c r="B16" s="44"/>
      <c r="C16" s="45"/>
      <c r="D16" s="45"/>
      <c r="E16" s="45"/>
      <c r="F16" s="45"/>
      <c r="G16" s="45"/>
      <c r="H16" s="45"/>
      <c r="I16" s="45"/>
      <c r="J16" s="45"/>
      <c r="K16" s="147" t="str">
        <f>LOOKUP('自動車台帳'!$F$1,実績報告年度,'自動車台帳'!$M$336:$M$339)</f>
        <v>平成14年度</v>
      </c>
      <c r="L16" s="146"/>
      <c r="M16" s="401">
        <f>P12</f>
        <v>0</v>
      </c>
      <c r="N16" s="402"/>
      <c r="O16" s="403"/>
      <c r="P16" s="403"/>
      <c r="Q16" s="404"/>
      <c r="R16" s="45"/>
      <c r="S16" s="42"/>
      <c r="V16" s="37"/>
      <c r="W16" s="37"/>
      <c r="X16" s="37"/>
      <c r="Y16" s="37"/>
      <c r="Z16" s="37"/>
      <c r="AA16" s="37"/>
      <c r="AB16" s="37"/>
      <c r="AC16" s="37"/>
      <c r="AD16" s="37"/>
      <c r="AE16" s="37"/>
      <c r="AF16" s="37"/>
      <c r="AG16" s="37"/>
      <c r="AH16" s="37"/>
    </row>
    <row r="17" spans="1:34" s="28" customFormat="1" ht="13.5" customHeight="1">
      <c r="A17" s="27"/>
      <c r="B17" s="77"/>
      <c r="C17" s="22"/>
      <c r="D17" s="22"/>
      <c r="E17" s="22"/>
      <c r="F17" s="22"/>
      <c r="G17" s="22"/>
      <c r="H17" s="22"/>
      <c r="I17" s="22"/>
      <c r="J17" s="22"/>
      <c r="K17" s="22"/>
      <c r="L17" s="22"/>
      <c r="M17" s="22"/>
      <c r="N17" s="22"/>
      <c r="O17" s="22"/>
      <c r="P17" s="22"/>
      <c r="Q17" s="22"/>
      <c r="R17" s="22"/>
      <c r="S17" s="26"/>
      <c r="V17" s="37"/>
      <c r="W17" s="37"/>
      <c r="X17" s="37"/>
      <c r="Y17" s="37"/>
      <c r="Z17" s="37"/>
      <c r="AA17" s="37"/>
      <c r="AB17" s="37"/>
      <c r="AC17" s="37"/>
      <c r="AD17" s="37"/>
      <c r="AE17" s="37"/>
      <c r="AF17" s="37"/>
      <c r="AG17" s="37"/>
      <c r="AH17" s="37"/>
    </row>
    <row r="18" spans="1:34" s="28" customFormat="1" ht="13.5" customHeight="1">
      <c r="A18" s="27"/>
      <c r="B18" s="77"/>
      <c r="C18" s="22"/>
      <c r="D18" s="22"/>
      <c r="E18" s="22"/>
      <c r="F18" s="22"/>
      <c r="G18" s="22"/>
      <c r="H18" s="22"/>
      <c r="I18" s="22"/>
      <c r="J18" s="22"/>
      <c r="K18" s="22"/>
      <c r="L18" s="22"/>
      <c r="M18" s="22"/>
      <c r="N18" s="22"/>
      <c r="O18" s="22"/>
      <c r="P18" s="22"/>
      <c r="Q18" s="22"/>
      <c r="R18" s="22"/>
      <c r="S18" s="26"/>
      <c r="V18" s="37"/>
      <c r="W18" s="37"/>
      <c r="X18" s="37"/>
      <c r="Y18" s="37"/>
      <c r="Z18" s="37"/>
      <c r="AA18" s="37"/>
      <c r="AB18" s="37"/>
      <c r="AC18" s="37"/>
      <c r="AD18" s="37"/>
      <c r="AE18" s="37"/>
      <c r="AF18" s="37"/>
      <c r="AG18" s="37"/>
      <c r="AH18" s="37"/>
    </row>
    <row r="19" spans="1:40" s="28" customFormat="1" ht="13.5" customHeight="1">
      <c r="A19" s="46"/>
      <c r="B19" s="24"/>
      <c r="C19" s="24"/>
      <c r="D19" s="24"/>
      <c r="E19" s="24"/>
      <c r="F19" s="24"/>
      <c r="G19" s="24"/>
      <c r="H19" s="24"/>
      <c r="I19" s="24"/>
      <c r="J19" s="24"/>
      <c r="K19" s="24"/>
      <c r="L19" s="24"/>
      <c r="M19" s="24"/>
      <c r="N19" s="24"/>
      <c r="O19" s="24"/>
      <c r="P19" s="24"/>
      <c r="Q19" s="24"/>
      <c r="R19" s="24"/>
      <c r="S19" s="24"/>
      <c r="V19" s="42"/>
      <c r="W19" s="69" t="s">
        <v>29</v>
      </c>
      <c r="X19" s="42" t="s">
        <v>182</v>
      </c>
      <c r="Y19" s="42"/>
      <c r="Z19" s="42"/>
      <c r="AA19" s="69" t="s">
        <v>190</v>
      </c>
      <c r="AB19" s="42" t="s">
        <v>185</v>
      </c>
      <c r="AC19" s="42"/>
      <c r="AD19" s="42"/>
      <c r="AE19" s="42"/>
      <c r="AF19" s="70"/>
      <c r="AG19" s="42"/>
      <c r="AH19" s="42"/>
      <c r="AI19" s="42"/>
      <c r="AJ19" s="42"/>
      <c r="AK19" s="42"/>
      <c r="AL19" s="42"/>
      <c r="AM19" s="42"/>
      <c r="AN19" s="42"/>
    </row>
    <row r="20" spans="1:40" s="28" customFormat="1" ht="13.5" customHeight="1">
      <c r="A20" s="46"/>
      <c r="B20" s="24"/>
      <c r="C20" s="24"/>
      <c r="D20" s="24"/>
      <c r="E20" s="24"/>
      <c r="F20" s="24"/>
      <c r="G20" s="24"/>
      <c r="H20" s="24"/>
      <c r="I20" s="24"/>
      <c r="J20" s="24"/>
      <c r="K20" s="24"/>
      <c r="L20" s="24"/>
      <c r="M20" s="24"/>
      <c r="N20" s="24"/>
      <c r="O20" s="24"/>
      <c r="P20" s="24"/>
      <c r="Q20" s="24"/>
      <c r="R20" s="24"/>
      <c r="S20" s="24"/>
      <c r="V20" s="42"/>
      <c r="W20" s="43"/>
      <c r="X20" s="71" t="s">
        <v>159</v>
      </c>
      <c r="Y20" s="72" t="s">
        <v>160</v>
      </c>
      <c r="Z20" s="73"/>
      <c r="AA20" s="73"/>
      <c r="AB20" s="74" t="s">
        <v>161</v>
      </c>
      <c r="AC20" s="75"/>
      <c r="AD20" s="76" t="s">
        <v>160</v>
      </c>
      <c r="AE20" s="26"/>
      <c r="AF20" s="26"/>
      <c r="AG20" s="26"/>
      <c r="AH20" s="26"/>
      <c r="AI20" s="26"/>
      <c r="AJ20" s="26"/>
      <c r="AK20" s="26"/>
      <c r="AL20" s="26"/>
      <c r="AM20" s="26"/>
      <c r="AN20" s="26"/>
    </row>
    <row r="21" spans="1:40" s="28" customFormat="1" ht="13.5" customHeight="1">
      <c r="A21" s="46"/>
      <c r="B21" s="24"/>
      <c r="C21" s="24"/>
      <c r="D21" s="24"/>
      <c r="E21" s="24"/>
      <c r="F21" s="24"/>
      <c r="G21" s="24"/>
      <c r="H21" s="24"/>
      <c r="I21" s="24"/>
      <c r="J21" s="24"/>
      <c r="K21" s="24"/>
      <c r="L21" s="24"/>
      <c r="M21" s="24"/>
      <c r="N21" s="24"/>
      <c r="O21" s="24"/>
      <c r="P21" s="24"/>
      <c r="Q21" s="24"/>
      <c r="R21" s="24"/>
      <c r="S21" s="24"/>
      <c r="V21" s="26"/>
      <c r="W21" s="27"/>
      <c r="X21" s="78" t="s">
        <v>234</v>
      </c>
      <c r="Y21" s="79">
        <v>0.2</v>
      </c>
      <c r="Z21" s="80" t="s">
        <v>30</v>
      </c>
      <c r="AA21" s="26"/>
      <c r="AB21" s="81" t="s">
        <v>187</v>
      </c>
      <c r="AC21" s="82"/>
      <c r="AD21" s="83">
        <v>1</v>
      </c>
      <c r="AE21" s="26"/>
      <c r="AF21" s="26"/>
      <c r="AG21" s="26"/>
      <c r="AH21" s="26"/>
      <c r="AI21" s="26"/>
      <c r="AJ21" s="26"/>
      <c r="AK21" s="26"/>
      <c r="AL21" s="26"/>
      <c r="AM21" s="26"/>
      <c r="AN21" s="26"/>
    </row>
    <row r="22" spans="1:40" s="28" customFormat="1" ht="13.5" customHeight="1">
      <c r="A22" s="46"/>
      <c r="B22" s="24"/>
      <c r="C22" s="24"/>
      <c r="D22" s="24"/>
      <c r="E22" s="24"/>
      <c r="F22" s="24"/>
      <c r="G22" s="24"/>
      <c r="H22" s="24"/>
      <c r="I22" s="24"/>
      <c r="J22" s="24"/>
      <c r="K22" s="24"/>
      <c r="L22" s="24"/>
      <c r="M22" s="24"/>
      <c r="N22" s="24"/>
      <c r="O22" s="24"/>
      <c r="P22" s="24"/>
      <c r="Q22" s="24"/>
      <c r="R22" s="24"/>
      <c r="S22" s="24"/>
      <c r="V22" s="26"/>
      <c r="W22" s="27"/>
      <c r="X22" s="84" t="s">
        <v>162</v>
      </c>
      <c r="Y22" s="79">
        <v>1</v>
      </c>
      <c r="Z22" s="85" t="s">
        <v>31</v>
      </c>
      <c r="AA22" s="86"/>
      <c r="AB22" s="87" t="s">
        <v>32</v>
      </c>
      <c r="AC22" s="88"/>
      <c r="AD22" s="89">
        <v>1</v>
      </c>
      <c r="AE22" s="27" t="s">
        <v>31</v>
      </c>
      <c r="AF22" s="26"/>
      <c r="AG22" s="26"/>
      <c r="AH22" s="26"/>
      <c r="AI22" s="26"/>
      <c r="AJ22" s="26"/>
      <c r="AK22" s="26"/>
      <c r="AL22" s="26"/>
      <c r="AM22" s="26"/>
      <c r="AN22" s="26"/>
    </row>
    <row r="23" spans="1:40" s="28" customFormat="1" ht="13.5" customHeight="1">
      <c r="A23" s="46"/>
      <c r="B23" s="24"/>
      <c r="C23" s="24"/>
      <c r="D23" s="24"/>
      <c r="E23" s="24"/>
      <c r="F23" s="24"/>
      <c r="G23" s="24"/>
      <c r="H23" s="24"/>
      <c r="I23" s="24"/>
      <c r="J23" s="24"/>
      <c r="K23" s="24"/>
      <c r="L23" s="24"/>
      <c r="M23" s="24"/>
      <c r="N23" s="24"/>
      <c r="O23" s="24"/>
      <c r="P23" s="24"/>
      <c r="Q23" s="24"/>
      <c r="R23" s="24"/>
      <c r="S23" s="24"/>
      <c r="V23" s="24"/>
      <c r="W23" s="27"/>
      <c r="X23" s="90" t="s">
        <v>163</v>
      </c>
      <c r="Y23" s="79">
        <v>1.5</v>
      </c>
      <c r="Z23" s="91" t="s">
        <v>33</v>
      </c>
      <c r="AA23" s="73"/>
      <c r="AB23" s="87" t="s">
        <v>191</v>
      </c>
      <c r="AC23" s="88"/>
      <c r="AD23" s="89">
        <v>1</v>
      </c>
      <c r="AE23" s="27"/>
      <c r="AF23" s="26"/>
      <c r="AG23" s="24"/>
      <c r="AH23" s="24"/>
      <c r="AI23" s="24"/>
      <c r="AJ23" s="24"/>
      <c r="AK23" s="24"/>
      <c r="AL23" s="24"/>
      <c r="AM23" s="24"/>
      <c r="AN23" s="24"/>
    </row>
    <row r="24" spans="1:40" s="28" customFormat="1" ht="13.5" customHeight="1">
      <c r="A24" s="46"/>
      <c r="B24" s="24"/>
      <c r="C24" s="24"/>
      <c r="D24" s="24"/>
      <c r="E24" s="24"/>
      <c r="F24" s="24"/>
      <c r="G24" s="24"/>
      <c r="H24" s="24"/>
      <c r="I24" s="24"/>
      <c r="J24" s="24"/>
      <c r="K24" s="24"/>
      <c r="L24" s="24"/>
      <c r="M24" s="24"/>
      <c r="N24" s="24"/>
      <c r="O24" s="24"/>
      <c r="P24" s="24"/>
      <c r="Q24" s="24"/>
      <c r="R24" s="24"/>
      <c r="S24" s="24"/>
      <c r="V24" s="24"/>
      <c r="W24" s="27"/>
      <c r="X24" s="90" t="s">
        <v>164</v>
      </c>
      <c r="Y24" s="79">
        <v>2</v>
      </c>
      <c r="Z24" s="91" t="s">
        <v>34</v>
      </c>
      <c r="AA24" s="73"/>
      <c r="AB24" s="87" t="s">
        <v>186</v>
      </c>
      <c r="AC24" s="88"/>
      <c r="AD24" s="89">
        <v>1</v>
      </c>
      <c r="AE24" s="27"/>
      <c r="AF24" s="24"/>
      <c r="AG24" s="24"/>
      <c r="AH24" s="24"/>
      <c r="AI24" s="24"/>
      <c r="AJ24" s="24"/>
      <c r="AK24" s="24"/>
      <c r="AL24" s="24"/>
      <c r="AM24" s="24"/>
      <c r="AN24" s="24"/>
    </row>
    <row r="25" spans="1:40" s="28" customFormat="1" ht="13.5" customHeight="1">
      <c r="A25" s="46"/>
      <c r="B25" s="24"/>
      <c r="C25" s="24"/>
      <c r="D25" s="24"/>
      <c r="E25" s="24"/>
      <c r="F25" s="24"/>
      <c r="G25" s="24"/>
      <c r="H25" s="24"/>
      <c r="I25" s="24"/>
      <c r="J25" s="24"/>
      <c r="K25" s="24"/>
      <c r="L25" s="24"/>
      <c r="M25" s="24"/>
      <c r="N25" s="24"/>
      <c r="O25" s="24"/>
      <c r="P25" s="24"/>
      <c r="Q25" s="24"/>
      <c r="R25" s="24"/>
      <c r="S25" s="24"/>
      <c r="V25" s="24"/>
      <c r="W25" s="27"/>
      <c r="X25" s="78" t="s">
        <v>165</v>
      </c>
      <c r="Y25" s="79">
        <v>0.5</v>
      </c>
      <c r="Z25" s="91" t="s">
        <v>35</v>
      </c>
      <c r="AA25" s="73"/>
      <c r="AB25" s="92" t="s">
        <v>36</v>
      </c>
      <c r="AC25" s="93"/>
      <c r="AD25" s="94">
        <v>1</v>
      </c>
      <c r="AE25" s="27"/>
      <c r="AF25" s="24"/>
      <c r="AG25" s="24"/>
      <c r="AH25" s="24"/>
      <c r="AI25" s="24"/>
      <c r="AJ25" s="24"/>
      <c r="AK25" s="24"/>
      <c r="AL25" s="24"/>
      <c r="AM25" s="24"/>
      <c r="AN25" s="24"/>
    </row>
    <row r="26" spans="1:40" s="28" customFormat="1" ht="13.5" customHeight="1">
      <c r="A26" s="46"/>
      <c r="B26" s="24"/>
      <c r="C26" s="24"/>
      <c r="D26" s="24"/>
      <c r="E26" s="24"/>
      <c r="F26" s="24"/>
      <c r="G26" s="24"/>
      <c r="H26" s="24"/>
      <c r="I26" s="24"/>
      <c r="J26" s="24"/>
      <c r="K26" s="24"/>
      <c r="L26" s="24"/>
      <c r="M26" s="24"/>
      <c r="N26" s="24"/>
      <c r="O26" s="24"/>
      <c r="P26" s="24"/>
      <c r="Q26" s="24"/>
      <c r="R26" s="24"/>
      <c r="S26" s="24"/>
      <c r="V26" s="24"/>
      <c r="W26" s="27"/>
      <c r="X26" s="78" t="s">
        <v>189</v>
      </c>
      <c r="Y26" s="79">
        <v>2</v>
      </c>
      <c r="Z26" s="80" t="s">
        <v>37</v>
      </c>
      <c r="AA26" s="26"/>
      <c r="AB26" s="78" t="s">
        <v>166</v>
      </c>
      <c r="AC26" s="75"/>
      <c r="AD26" s="79">
        <v>1</v>
      </c>
      <c r="AE26" s="27" t="s">
        <v>38</v>
      </c>
      <c r="AF26" s="24"/>
      <c r="AG26" s="24"/>
      <c r="AH26" s="24"/>
      <c r="AI26" s="24"/>
      <c r="AJ26" s="24"/>
      <c r="AK26" s="24"/>
      <c r="AL26" s="24"/>
      <c r="AM26" s="24"/>
      <c r="AN26" s="24"/>
    </row>
    <row r="27" spans="1:40" s="28" customFormat="1" ht="13.5" customHeight="1">
      <c r="A27" s="46"/>
      <c r="B27" s="24"/>
      <c r="C27" s="24"/>
      <c r="D27" s="24"/>
      <c r="E27" s="24"/>
      <c r="F27" s="24"/>
      <c r="G27" s="24"/>
      <c r="H27" s="24"/>
      <c r="I27" s="24"/>
      <c r="J27" s="24"/>
      <c r="K27" s="24"/>
      <c r="L27" s="24"/>
      <c r="M27" s="24"/>
      <c r="N27" s="24"/>
      <c r="O27" s="24"/>
      <c r="P27" s="24"/>
      <c r="Q27" s="24"/>
      <c r="R27" s="24"/>
      <c r="S27" s="24"/>
      <c r="V27" s="24"/>
      <c r="W27" s="27"/>
      <c r="X27" s="95"/>
      <c r="Y27" s="96"/>
      <c r="Z27" s="97"/>
      <c r="AA27" s="97"/>
      <c r="AB27" s="78" t="s">
        <v>167</v>
      </c>
      <c r="AC27" s="75"/>
      <c r="AD27" s="79">
        <v>0.5</v>
      </c>
      <c r="AE27" s="27" t="s">
        <v>39</v>
      </c>
      <c r="AF27" s="24"/>
      <c r="AG27" s="24"/>
      <c r="AH27" s="24"/>
      <c r="AI27" s="24"/>
      <c r="AJ27" s="24"/>
      <c r="AK27" s="24"/>
      <c r="AL27" s="24"/>
      <c r="AM27" s="24"/>
      <c r="AN27" s="24"/>
    </row>
    <row r="28" spans="1:40" s="28" customFormat="1" ht="13.5" customHeight="1">
      <c r="A28" s="24"/>
      <c r="B28" s="24"/>
      <c r="C28" s="24"/>
      <c r="D28" s="24"/>
      <c r="E28" s="24"/>
      <c r="F28" s="24"/>
      <c r="G28" s="24"/>
      <c r="H28" s="24"/>
      <c r="I28" s="24"/>
      <c r="J28" s="24"/>
      <c r="K28" s="24"/>
      <c r="L28" s="24"/>
      <c r="M28" s="24"/>
      <c r="N28" s="24"/>
      <c r="O28" s="24"/>
      <c r="P28" s="24"/>
      <c r="Q28" s="24"/>
      <c r="R28" s="24"/>
      <c r="S28" s="24"/>
      <c r="V28" s="24"/>
      <c r="W28" s="27"/>
      <c r="X28" s="98"/>
      <c r="Y28" s="73"/>
      <c r="Z28" s="97"/>
      <c r="AA28" s="97"/>
      <c r="AB28" s="78" t="s">
        <v>169</v>
      </c>
      <c r="AC28" s="75"/>
      <c r="AD28" s="79">
        <f>1/3</f>
        <v>0.3333333333333333</v>
      </c>
      <c r="AE28" s="27" t="s">
        <v>40</v>
      </c>
      <c r="AF28" s="24"/>
      <c r="AG28" s="24"/>
      <c r="AH28" s="24"/>
      <c r="AI28" s="24"/>
      <c r="AJ28" s="24"/>
      <c r="AK28" s="24"/>
      <c r="AL28" s="24"/>
      <c r="AM28" s="24"/>
      <c r="AN28" s="24"/>
    </row>
    <row r="29" spans="1:40" s="28" customFormat="1" ht="13.5" customHeight="1">
      <c r="A29" s="24"/>
      <c r="B29" s="24"/>
      <c r="C29" s="24"/>
      <c r="D29" s="24"/>
      <c r="E29" s="24"/>
      <c r="F29" s="24"/>
      <c r="G29" s="24"/>
      <c r="H29" s="24"/>
      <c r="I29" s="24"/>
      <c r="J29" s="24"/>
      <c r="K29" s="24"/>
      <c r="L29" s="24"/>
      <c r="M29" s="24"/>
      <c r="N29" s="24"/>
      <c r="O29" s="24"/>
      <c r="P29" s="24"/>
      <c r="Q29" s="24"/>
      <c r="R29" s="24"/>
      <c r="S29" s="24"/>
      <c r="V29" s="24"/>
      <c r="W29" s="99"/>
      <c r="X29" s="99"/>
      <c r="Y29" s="99"/>
      <c r="Z29" s="99"/>
      <c r="AA29" s="99"/>
      <c r="AB29" s="78" t="s">
        <v>170</v>
      </c>
      <c r="AC29" s="75"/>
      <c r="AD29" s="79">
        <v>0.2</v>
      </c>
      <c r="AE29" s="27" t="s">
        <v>41</v>
      </c>
      <c r="AF29" s="24"/>
      <c r="AG29" s="24"/>
      <c r="AH29" s="24"/>
      <c r="AI29" s="24"/>
      <c r="AJ29" s="24"/>
      <c r="AK29" s="24"/>
      <c r="AL29" s="24"/>
      <c r="AM29" s="24"/>
      <c r="AN29" s="24"/>
    </row>
    <row r="30" spans="1:40" s="28" customFormat="1" ht="13.5" customHeight="1">
      <c r="A30" s="24"/>
      <c r="B30" s="24"/>
      <c r="C30" s="24"/>
      <c r="D30" s="24"/>
      <c r="E30" s="24"/>
      <c r="F30" s="24"/>
      <c r="G30" s="24"/>
      <c r="H30" s="24"/>
      <c r="I30" s="24"/>
      <c r="J30" s="24"/>
      <c r="K30" s="24"/>
      <c r="L30" s="24"/>
      <c r="M30" s="24"/>
      <c r="N30" s="24"/>
      <c r="O30" s="24"/>
      <c r="P30" s="24"/>
      <c r="Q30" s="24"/>
      <c r="R30" s="24"/>
      <c r="S30" s="24"/>
      <c r="V30" s="24"/>
      <c r="W30" s="24"/>
      <c r="X30" s="24"/>
      <c r="Y30" s="24"/>
      <c r="Z30" s="24"/>
      <c r="AA30" s="24"/>
      <c r="AB30" s="24"/>
      <c r="AC30" s="24"/>
      <c r="AD30" s="24"/>
      <c r="AE30" s="24"/>
      <c r="AF30" s="24"/>
      <c r="AG30" s="24"/>
      <c r="AH30" s="24"/>
      <c r="AI30" s="24"/>
      <c r="AJ30" s="24"/>
      <c r="AK30" s="24"/>
      <c r="AL30" s="24"/>
      <c r="AM30" s="24"/>
      <c r="AN30" s="24"/>
    </row>
    <row r="31" spans="1:40" s="28" customFormat="1" ht="13.5" customHeight="1">
      <c r="A31" s="24"/>
      <c r="B31" s="24"/>
      <c r="C31" s="24"/>
      <c r="D31" s="24"/>
      <c r="E31" s="24"/>
      <c r="F31" s="24"/>
      <c r="G31" s="24"/>
      <c r="H31" s="24"/>
      <c r="I31" s="24"/>
      <c r="J31" s="24"/>
      <c r="K31" s="24"/>
      <c r="L31" s="24"/>
      <c r="M31" s="24"/>
      <c r="N31" s="24"/>
      <c r="O31" s="24"/>
      <c r="P31" s="24"/>
      <c r="Q31" s="24"/>
      <c r="R31" s="24"/>
      <c r="S31" s="24"/>
      <c r="V31" s="24"/>
      <c r="W31" s="24"/>
      <c r="X31" s="24"/>
      <c r="Y31" s="24"/>
      <c r="Z31" s="24"/>
      <c r="AA31" s="24"/>
      <c r="AB31" s="24"/>
      <c r="AC31" s="24"/>
      <c r="AD31" s="24"/>
      <c r="AE31" s="24"/>
      <c r="AF31" s="24"/>
      <c r="AG31" s="24"/>
      <c r="AH31" s="24"/>
      <c r="AI31" s="24"/>
      <c r="AJ31" s="24"/>
      <c r="AK31" s="24"/>
      <c r="AL31" s="24"/>
      <c r="AM31" s="24"/>
      <c r="AN31" s="24"/>
    </row>
    <row r="32" spans="1:40" s="28" customFormat="1" ht="13.5" customHeight="1">
      <c r="A32" s="24"/>
      <c r="B32" s="24"/>
      <c r="C32" s="24"/>
      <c r="D32" s="24"/>
      <c r="E32" s="24"/>
      <c r="F32" s="24"/>
      <c r="G32" s="24"/>
      <c r="H32" s="24"/>
      <c r="I32" s="24"/>
      <c r="J32" s="24"/>
      <c r="K32" s="24"/>
      <c r="L32" s="24"/>
      <c r="M32" s="24"/>
      <c r="N32" s="24"/>
      <c r="O32" s="24"/>
      <c r="P32" s="24"/>
      <c r="Q32" s="24"/>
      <c r="R32" s="24"/>
      <c r="S32" s="24"/>
      <c r="V32" s="24"/>
      <c r="W32" s="24"/>
      <c r="X32" s="24"/>
      <c r="Y32" s="24"/>
      <c r="Z32" s="24"/>
      <c r="AA32" s="24"/>
      <c r="AB32" s="24"/>
      <c r="AC32" s="24"/>
      <c r="AD32" s="24"/>
      <c r="AE32" s="24"/>
      <c r="AF32" s="24"/>
      <c r="AG32" s="24"/>
      <c r="AH32" s="24"/>
      <c r="AI32" s="24"/>
      <c r="AJ32" s="24"/>
      <c r="AK32" s="24"/>
      <c r="AL32" s="24"/>
      <c r="AM32" s="24"/>
      <c r="AN32" s="24"/>
    </row>
    <row r="33" spans="1:40" s="28" customFormat="1" ht="13.5" customHeight="1">
      <c r="A33" s="24"/>
      <c r="B33" s="24"/>
      <c r="C33" s="24"/>
      <c r="D33" s="24"/>
      <c r="E33" s="24"/>
      <c r="F33" s="24"/>
      <c r="G33" s="24"/>
      <c r="H33" s="24"/>
      <c r="I33" s="24"/>
      <c r="J33" s="24"/>
      <c r="K33" s="24"/>
      <c r="L33" s="24"/>
      <c r="M33" s="24"/>
      <c r="N33" s="24"/>
      <c r="O33" s="24"/>
      <c r="P33" s="24"/>
      <c r="Q33" s="24"/>
      <c r="R33" s="24"/>
      <c r="S33" s="24"/>
      <c r="V33" s="24"/>
      <c r="W33" s="24"/>
      <c r="X33" s="24"/>
      <c r="Y33" s="24"/>
      <c r="Z33" s="24"/>
      <c r="AA33" s="24"/>
      <c r="AB33" s="24"/>
      <c r="AC33" s="24"/>
      <c r="AD33" s="24"/>
      <c r="AE33" s="24"/>
      <c r="AF33" s="24"/>
      <c r="AG33" s="24"/>
      <c r="AH33" s="24"/>
      <c r="AI33" s="24"/>
      <c r="AJ33" s="24"/>
      <c r="AK33" s="24"/>
      <c r="AL33" s="24"/>
      <c r="AM33" s="24"/>
      <c r="AN33" s="24"/>
    </row>
    <row r="34" spans="1:40" s="28" customFormat="1" ht="13.5" customHeight="1">
      <c r="A34" s="24"/>
      <c r="B34" s="24"/>
      <c r="C34" s="24"/>
      <c r="D34" s="24"/>
      <c r="E34" s="24"/>
      <c r="F34" s="24"/>
      <c r="G34" s="24"/>
      <c r="H34" s="24"/>
      <c r="I34" s="24"/>
      <c r="J34" s="24"/>
      <c r="K34" s="24"/>
      <c r="L34" s="24"/>
      <c r="M34" s="24"/>
      <c r="N34" s="24"/>
      <c r="O34" s="24"/>
      <c r="P34" s="24"/>
      <c r="Q34" s="24"/>
      <c r="R34" s="24"/>
      <c r="S34" s="24"/>
      <c r="V34" s="24"/>
      <c r="W34" s="24"/>
      <c r="X34" s="24"/>
      <c r="Y34" s="24"/>
      <c r="Z34" s="24"/>
      <c r="AA34" s="24"/>
      <c r="AB34" s="24"/>
      <c r="AC34" s="24"/>
      <c r="AD34" s="24"/>
      <c r="AE34" s="24"/>
      <c r="AF34" s="24"/>
      <c r="AG34" s="24"/>
      <c r="AH34" s="24"/>
      <c r="AI34" s="24"/>
      <c r="AJ34" s="24"/>
      <c r="AK34" s="24"/>
      <c r="AL34" s="24"/>
      <c r="AM34" s="24"/>
      <c r="AN34" s="24"/>
    </row>
    <row r="35" spans="1:40" s="28" customFormat="1" ht="13.5" customHeight="1">
      <c r="A35" s="24"/>
      <c r="B35" s="24"/>
      <c r="C35" s="24"/>
      <c r="D35" s="24"/>
      <c r="E35" s="24"/>
      <c r="F35" s="24"/>
      <c r="G35" s="24"/>
      <c r="H35" s="24"/>
      <c r="I35" s="24"/>
      <c r="J35" s="24"/>
      <c r="K35" s="24"/>
      <c r="L35" s="24"/>
      <c r="M35" s="24"/>
      <c r="N35" s="24"/>
      <c r="O35" s="24"/>
      <c r="P35" s="24"/>
      <c r="Q35" s="24"/>
      <c r="R35" s="24"/>
      <c r="S35" s="24"/>
      <c r="U35" s="37"/>
      <c r="V35" s="24"/>
      <c r="W35" s="24"/>
      <c r="X35" s="24"/>
      <c r="Y35" s="24"/>
      <c r="Z35" s="24"/>
      <c r="AA35" s="24"/>
      <c r="AB35" s="24"/>
      <c r="AC35" s="24"/>
      <c r="AD35" s="24"/>
      <c r="AE35" s="24"/>
      <c r="AF35" s="24"/>
      <c r="AG35" s="24"/>
      <c r="AH35" s="24"/>
      <c r="AI35" s="24"/>
      <c r="AJ35" s="24"/>
      <c r="AK35" s="24"/>
      <c r="AL35" s="24"/>
      <c r="AM35" s="24"/>
      <c r="AN35" s="24"/>
    </row>
    <row r="36" spans="1:40" s="28" customFormat="1" ht="3.75" customHeight="1">
      <c r="A36" s="24"/>
      <c r="B36" s="24"/>
      <c r="C36" s="24"/>
      <c r="D36" s="24"/>
      <c r="E36" s="24"/>
      <c r="F36" s="24"/>
      <c r="G36" s="24"/>
      <c r="H36" s="24"/>
      <c r="I36" s="24"/>
      <c r="J36" s="24"/>
      <c r="K36" s="24"/>
      <c r="L36" s="24"/>
      <c r="M36" s="24"/>
      <c r="N36" s="24"/>
      <c r="O36" s="24"/>
      <c r="P36" s="24"/>
      <c r="Q36" s="24"/>
      <c r="R36" s="24"/>
      <c r="S36" s="24"/>
      <c r="U36" s="37"/>
      <c r="V36" s="24"/>
      <c r="W36" s="24"/>
      <c r="X36" s="24"/>
      <c r="Y36" s="24"/>
      <c r="Z36" s="24"/>
      <c r="AA36" s="24"/>
      <c r="AB36" s="24"/>
      <c r="AC36" s="24"/>
      <c r="AD36" s="24"/>
      <c r="AE36" s="24"/>
      <c r="AF36" s="24"/>
      <c r="AG36" s="24"/>
      <c r="AH36" s="24"/>
      <c r="AI36" s="24"/>
      <c r="AJ36" s="24"/>
      <c r="AK36" s="24"/>
      <c r="AL36" s="24"/>
      <c r="AM36" s="24"/>
      <c r="AN36" s="24"/>
    </row>
    <row r="37" spans="1:40" s="28" customFormat="1" ht="13.5">
      <c r="A37" s="24"/>
      <c r="B37" s="24"/>
      <c r="C37" s="24"/>
      <c r="D37" s="24"/>
      <c r="E37" s="24"/>
      <c r="F37" s="24"/>
      <c r="G37" s="24"/>
      <c r="H37" s="24"/>
      <c r="I37" s="24"/>
      <c r="J37" s="24"/>
      <c r="K37" s="24"/>
      <c r="L37" s="24"/>
      <c r="M37" s="24"/>
      <c r="N37" s="24"/>
      <c r="O37" s="24"/>
      <c r="P37" s="24"/>
      <c r="Q37" s="24"/>
      <c r="R37" s="24"/>
      <c r="S37" s="24"/>
      <c r="U37" s="37"/>
      <c r="V37" s="24"/>
      <c r="W37" s="24"/>
      <c r="X37" s="24"/>
      <c r="Y37" s="24"/>
      <c r="Z37" s="24"/>
      <c r="AA37" s="24"/>
      <c r="AB37" s="24"/>
      <c r="AC37" s="24"/>
      <c r="AD37" s="24"/>
      <c r="AE37" s="24"/>
      <c r="AF37" s="24"/>
      <c r="AG37" s="24"/>
      <c r="AH37" s="24"/>
      <c r="AI37" s="24"/>
      <c r="AJ37" s="24"/>
      <c r="AK37" s="24"/>
      <c r="AL37" s="24"/>
      <c r="AM37" s="24"/>
      <c r="AN37" s="24"/>
    </row>
    <row r="38" spans="1:40" s="28" customFormat="1" ht="3.75" customHeight="1">
      <c r="A38" s="24"/>
      <c r="B38" s="24"/>
      <c r="C38" s="24"/>
      <c r="D38" s="24"/>
      <c r="E38" s="24"/>
      <c r="F38" s="24"/>
      <c r="G38" s="24"/>
      <c r="H38" s="24"/>
      <c r="I38" s="24"/>
      <c r="J38" s="24"/>
      <c r="K38" s="24"/>
      <c r="L38" s="24"/>
      <c r="M38" s="24"/>
      <c r="N38" s="24"/>
      <c r="O38" s="24"/>
      <c r="P38" s="24"/>
      <c r="Q38" s="24"/>
      <c r="R38" s="24"/>
      <c r="S38" s="24"/>
      <c r="U38" s="37"/>
      <c r="V38" s="24"/>
      <c r="W38" s="24"/>
      <c r="X38" s="24"/>
      <c r="Y38" s="24"/>
      <c r="Z38" s="24"/>
      <c r="AA38" s="24"/>
      <c r="AB38" s="24"/>
      <c r="AC38" s="24"/>
      <c r="AD38" s="24"/>
      <c r="AE38" s="24"/>
      <c r="AF38" s="24"/>
      <c r="AG38" s="24"/>
      <c r="AH38" s="24"/>
      <c r="AI38" s="24"/>
      <c r="AJ38" s="24"/>
      <c r="AK38" s="24"/>
      <c r="AL38" s="24"/>
      <c r="AM38" s="24"/>
      <c r="AN38" s="24"/>
    </row>
    <row r="39" spans="1:40" s="42" customFormat="1" ht="13.5" customHeight="1">
      <c r="A39" s="24"/>
      <c r="B39" s="24"/>
      <c r="C39" s="24"/>
      <c r="D39" s="24"/>
      <c r="E39" s="24"/>
      <c r="F39" s="24"/>
      <c r="G39" s="24"/>
      <c r="H39" s="24"/>
      <c r="I39" s="24"/>
      <c r="J39" s="24"/>
      <c r="K39" s="24"/>
      <c r="L39" s="24"/>
      <c r="M39" s="24"/>
      <c r="N39" s="24"/>
      <c r="O39" s="24"/>
      <c r="P39" s="24"/>
      <c r="Q39" s="24"/>
      <c r="R39" s="24"/>
      <c r="S39" s="24"/>
      <c r="V39" s="24"/>
      <c r="W39" s="24"/>
      <c r="X39" s="24"/>
      <c r="Y39" s="24"/>
      <c r="Z39" s="24"/>
      <c r="AA39" s="24"/>
      <c r="AB39" s="24"/>
      <c r="AC39" s="24"/>
      <c r="AD39" s="24"/>
      <c r="AE39" s="24"/>
      <c r="AF39" s="24"/>
      <c r="AG39" s="24"/>
      <c r="AH39" s="24"/>
      <c r="AI39" s="24"/>
      <c r="AJ39" s="24"/>
      <c r="AK39" s="24"/>
      <c r="AL39" s="24"/>
      <c r="AM39" s="24"/>
      <c r="AN39" s="24"/>
    </row>
    <row r="40" spans="1:40" s="26" customFormat="1" ht="13.5" customHeight="1">
      <c r="A40" s="24"/>
      <c r="B40" s="24"/>
      <c r="C40" s="24"/>
      <c r="D40" s="24"/>
      <c r="E40" s="24"/>
      <c r="F40" s="24"/>
      <c r="G40" s="24"/>
      <c r="H40" s="24"/>
      <c r="I40" s="24"/>
      <c r="J40" s="24"/>
      <c r="K40" s="24"/>
      <c r="L40" s="24"/>
      <c r="M40" s="24"/>
      <c r="N40" s="24"/>
      <c r="O40" s="24"/>
      <c r="P40" s="24"/>
      <c r="Q40" s="24"/>
      <c r="R40" s="24"/>
      <c r="S40" s="24"/>
      <c r="T40" s="42"/>
      <c r="U40" s="42"/>
      <c r="V40" s="24"/>
      <c r="W40" s="24"/>
      <c r="X40" s="24"/>
      <c r="Y40" s="24"/>
      <c r="Z40" s="24"/>
      <c r="AA40" s="24"/>
      <c r="AB40" s="24"/>
      <c r="AC40" s="24"/>
      <c r="AD40" s="24"/>
      <c r="AE40" s="24"/>
      <c r="AF40" s="24"/>
      <c r="AG40" s="24"/>
      <c r="AH40" s="24"/>
      <c r="AI40" s="24"/>
      <c r="AJ40" s="24"/>
      <c r="AK40" s="24"/>
      <c r="AL40" s="24"/>
      <c r="AM40" s="24"/>
      <c r="AN40" s="24"/>
    </row>
    <row r="41" spans="1:40" s="26" customFormat="1" ht="13.5" customHeight="1">
      <c r="A41" s="24"/>
      <c r="B41" s="24"/>
      <c r="C41" s="24"/>
      <c r="D41" s="24"/>
      <c r="E41" s="24"/>
      <c r="F41" s="24"/>
      <c r="G41" s="24"/>
      <c r="H41" s="24"/>
      <c r="I41" s="24"/>
      <c r="J41" s="24"/>
      <c r="K41" s="24"/>
      <c r="L41" s="24"/>
      <c r="M41" s="24"/>
      <c r="N41" s="24"/>
      <c r="O41" s="24"/>
      <c r="P41" s="24"/>
      <c r="Q41" s="24"/>
      <c r="R41" s="24"/>
      <c r="S41" s="24"/>
      <c r="V41" s="24"/>
      <c r="W41" s="24"/>
      <c r="X41" s="24"/>
      <c r="Y41" s="24"/>
      <c r="Z41" s="24"/>
      <c r="AA41" s="24"/>
      <c r="AB41" s="24"/>
      <c r="AC41" s="24"/>
      <c r="AD41" s="24"/>
      <c r="AE41" s="24"/>
      <c r="AF41" s="24"/>
      <c r="AG41" s="24"/>
      <c r="AH41" s="24"/>
      <c r="AI41" s="24"/>
      <c r="AJ41" s="24"/>
      <c r="AK41" s="24"/>
      <c r="AL41" s="24"/>
      <c r="AM41" s="24"/>
      <c r="AN41" s="24"/>
    </row>
    <row r="42" spans="1:40" s="26" customFormat="1" ht="13.5" customHeight="1">
      <c r="A42" s="24"/>
      <c r="B42" s="24"/>
      <c r="C42" s="24"/>
      <c r="D42" s="24"/>
      <c r="E42" s="24"/>
      <c r="F42" s="24"/>
      <c r="G42" s="24"/>
      <c r="H42" s="24"/>
      <c r="I42" s="24"/>
      <c r="J42" s="24"/>
      <c r="K42" s="24"/>
      <c r="L42" s="24"/>
      <c r="M42" s="24"/>
      <c r="N42" s="24"/>
      <c r="O42" s="24"/>
      <c r="P42" s="24"/>
      <c r="Q42" s="24"/>
      <c r="R42" s="24"/>
      <c r="S42" s="24"/>
      <c r="V42" s="24"/>
      <c r="W42" s="24"/>
      <c r="X42" s="24"/>
      <c r="Y42" s="24"/>
      <c r="Z42" s="24"/>
      <c r="AA42" s="24"/>
      <c r="AB42" s="24"/>
      <c r="AC42" s="24"/>
      <c r="AD42" s="24"/>
      <c r="AE42" s="24"/>
      <c r="AF42" s="24"/>
      <c r="AG42" s="24"/>
      <c r="AH42" s="24"/>
      <c r="AI42" s="24"/>
      <c r="AJ42" s="24"/>
      <c r="AK42" s="24"/>
      <c r="AL42" s="24"/>
      <c r="AM42" s="24"/>
      <c r="AN42" s="24"/>
    </row>
  </sheetData>
  <sheetProtection/>
  <mergeCells count="13">
    <mergeCell ref="M14:Q14"/>
    <mergeCell ref="M16:Q16"/>
    <mergeCell ref="Q2:Q3"/>
    <mergeCell ref="B2:C3"/>
    <mergeCell ref="D2:H2"/>
    <mergeCell ref="I2:N2"/>
    <mergeCell ref="O2:P2"/>
    <mergeCell ref="M15:Q15"/>
    <mergeCell ref="BE2:BE3"/>
    <mergeCell ref="AP2:AQ3"/>
    <mergeCell ref="AR2:AV2"/>
    <mergeCell ref="AW2:BB2"/>
    <mergeCell ref="BC2:BD2"/>
  </mergeCells>
  <printOptions/>
  <pageMargins left="0.7874015748031497" right="0.7874015748031497" top="0.7874015748031497" bottom="0.7874015748031497" header="0.5118110236220472" footer="0.5118110236220472"/>
  <pageSetup horizontalDpi="600" verticalDpi="600" orientation="landscape" paperSize="9" r:id="rId1"/>
  <headerFooter alignWithMargins="0">
    <oddHeader>&amp;R様式５</oddHeader>
  </headerFooter>
  <colBreaks count="1" manualBreakCount="1">
    <brk id="18" max="27" man="1"/>
  </colBreaks>
</worksheet>
</file>

<file path=xl/worksheets/sheet7.xml><?xml version="1.0" encoding="utf-8"?>
<worksheet xmlns="http://schemas.openxmlformats.org/spreadsheetml/2006/main" xmlns:r="http://schemas.openxmlformats.org/officeDocument/2006/relationships">
  <dimension ref="A2:F114"/>
  <sheetViews>
    <sheetView workbookViewId="0" topLeftCell="A1">
      <selection activeCell="C1" sqref="C1"/>
    </sheetView>
  </sheetViews>
  <sheetFormatPr defaultColWidth="9.00390625" defaultRowHeight="13.5"/>
  <cols>
    <col min="1" max="1" width="5.625" style="124" customWidth="1"/>
    <col min="2" max="2" width="2.25390625" style="124" customWidth="1"/>
    <col min="3" max="3" width="15.25390625" style="124" customWidth="1"/>
    <col min="4" max="5" width="11.00390625" style="124" customWidth="1"/>
    <col min="6" max="18" width="4.125" style="124" customWidth="1"/>
    <col min="19" max="19" width="0.74609375" style="124" customWidth="1"/>
    <col min="20" max="16384" width="9.00390625" style="124" customWidth="1"/>
  </cols>
  <sheetData>
    <row r="1" ht="18" customHeight="1"/>
    <row r="2" ht="18.75" customHeight="1">
      <c r="A2" s="301" t="str">
        <f>"５．特定自動車代替、排出ガス低減装置装着状況（"&amp;LOOKUP('自動車台帳'!$F$1,実績報告年度,'自動車台帳'!$M$336:$M$339)&amp;"）"</f>
        <v>５．特定自動車代替、排出ガス低減装置装着状況（平成14年度）</v>
      </c>
    </row>
    <row r="3" spans="1:5" ht="11.25" customHeight="1">
      <c r="A3" s="410"/>
      <c r="B3" s="410"/>
      <c r="C3" s="410"/>
      <c r="D3" s="432" t="str">
        <f>LOOKUP('自動車台帳'!$F$1,実績報告年度,'自動車台帳'!$M$336:$M$339)</f>
        <v>平成14年度</v>
      </c>
      <c r="E3" s="433"/>
    </row>
    <row r="4" spans="1:5" ht="11.25" customHeight="1">
      <c r="A4" s="410"/>
      <c r="B4" s="410"/>
      <c r="C4" s="410"/>
      <c r="D4" s="433"/>
      <c r="E4" s="433"/>
    </row>
    <row r="5" spans="1:5" ht="15" customHeight="1">
      <c r="A5" s="410"/>
      <c r="B5" s="410"/>
      <c r="C5" s="410"/>
      <c r="D5" s="432" t="s">
        <v>309</v>
      </c>
      <c r="E5" s="373" t="s">
        <v>206</v>
      </c>
    </row>
    <row r="6" spans="1:5" ht="27" customHeight="1">
      <c r="A6" s="410"/>
      <c r="B6" s="410"/>
      <c r="C6" s="410"/>
      <c r="D6" s="433"/>
      <c r="E6" s="433"/>
    </row>
    <row r="7" spans="1:5" ht="27" customHeight="1">
      <c r="A7" s="408" t="s">
        <v>198</v>
      </c>
      <c r="B7" s="409" t="s">
        <v>196</v>
      </c>
      <c r="C7" s="302" t="s">
        <v>187</v>
      </c>
      <c r="D7" s="303">
        <f aca="true" t="shared" si="0" ref="D7:D20">D29+D43+D57+D71+D85+D99</f>
        <v>0</v>
      </c>
      <c r="E7" s="303">
        <f aca="true" t="shared" si="1" ref="E7:E20">E29+E43+E57+E71+E85+E99</f>
        <v>0</v>
      </c>
    </row>
    <row r="8" spans="1:5" ht="27" customHeight="1">
      <c r="A8" s="408"/>
      <c r="B8" s="408"/>
      <c r="C8" s="302" t="s">
        <v>47</v>
      </c>
      <c r="D8" s="303">
        <f t="shared" si="0"/>
        <v>0</v>
      </c>
      <c r="E8" s="303">
        <f t="shared" si="1"/>
        <v>0</v>
      </c>
    </row>
    <row r="9" spans="1:5" ht="27" customHeight="1">
      <c r="A9" s="408"/>
      <c r="B9" s="408"/>
      <c r="C9" s="302" t="s">
        <v>27</v>
      </c>
      <c r="D9" s="303">
        <f t="shared" si="0"/>
        <v>0</v>
      </c>
      <c r="E9" s="303">
        <f t="shared" si="1"/>
        <v>0</v>
      </c>
    </row>
    <row r="10" spans="1:5" ht="27" customHeight="1">
      <c r="A10" s="408"/>
      <c r="B10" s="408"/>
      <c r="C10" s="302" t="s">
        <v>186</v>
      </c>
      <c r="D10" s="303">
        <f t="shared" si="0"/>
        <v>0</v>
      </c>
      <c r="E10" s="303">
        <f t="shared" si="1"/>
        <v>0</v>
      </c>
    </row>
    <row r="11" spans="1:5" ht="27" customHeight="1">
      <c r="A11" s="408"/>
      <c r="B11" s="408"/>
      <c r="C11" s="302" t="s">
        <v>193</v>
      </c>
      <c r="D11" s="303">
        <f t="shared" si="0"/>
        <v>0</v>
      </c>
      <c r="E11" s="303">
        <f t="shared" si="1"/>
        <v>0</v>
      </c>
    </row>
    <row r="12" spans="1:5" ht="27" customHeight="1">
      <c r="A12" s="408"/>
      <c r="B12" s="409" t="s">
        <v>42</v>
      </c>
      <c r="C12" s="304" t="s">
        <v>8</v>
      </c>
      <c r="D12" s="303">
        <f t="shared" si="0"/>
        <v>0</v>
      </c>
      <c r="E12" s="303">
        <f t="shared" si="1"/>
        <v>0</v>
      </c>
    </row>
    <row r="13" spans="1:5" ht="27" customHeight="1">
      <c r="A13" s="408"/>
      <c r="B13" s="408"/>
      <c r="C13" s="304" t="s">
        <v>9</v>
      </c>
      <c r="D13" s="303">
        <f t="shared" si="0"/>
        <v>0</v>
      </c>
      <c r="E13" s="303">
        <f t="shared" si="1"/>
        <v>0</v>
      </c>
    </row>
    <row r="14" spans="1:5" ht="27" customHeight="1">
      <c r="A14" s="408"/>
      <c r="B14" s="408"/>
      <c r="C14" s="304" t="s">
        <v>10</v>
      </c>
      <c r="D14" s="303">
        <f t="shared" si="0"/>
        <v>0</v>
      </c>
      <c r="E14" s="303">
        <f t="shared" si="1"/>
        <v>0</v>
      </c>
    </row>
    <row r="15" spans="1:5" ht="27" customHeight="1">
      <c r="A15" s="408"/>
      <c r="B15" s="408"/>
      <c r="C15" s="304" t="s">
        <v>11</v>
      </c>
      <c r="D15" s="303">
        <f t="shared" si="0"/>
        <v>0</v>
      </c>
      <c r="E15" s="303">
        <f t="shared" si="1"/>
        <v>0</v>
      </c>
    </row>
    <row r="16" spans="1:5" ht="27" customHeight="1">
      <c r="A16" s="408"/>
      <c r="B16" s="408"/>
      <c r="C16" s="304" t="s">
        <v>184</v>
      </c>
      <c r="D16" s="303">
        <f t="shared" si="0"/>
        <v>0</v>
      </c>
      <c r="E16" s="303">
        <f t="shared" si="1"/>
        <v>0</v>
      </c>
    </row>
    <row r="17" spans="1:5" ht="27" customHeight="1">
      <c r="A17" s="408"/>
      <c r="B17" s="408"/>
      <c r="C17" s="304" t="s">
        <v>12</v>
      </c>
      <c r="D17" s="303">
        <f t="shared" si="0"/>
        <v>0</v>
      </c>
      <c r="E17" s="303">
        <f t="shared" si="1"/>
        <v>0</v>
      </c>
    </row>
    <row r="18" spans="1:5" ht="27" customHeight="1">
      <c r="A18" s="408"/>
      <c r="B18" s="409" t="s">
        <v>128</v>
      </c>
      <c r="C18" s="302" t="s">
        <v>108</v>
      </c>
      <c r="D18" s="303">
        <f t="shared" si="0"/>
        <v>0</v>
      </c>
      <c r="E18" s="303">
        <f t="shared" si="1"/>
        <v>0</v>
      </c>
    </row>
    <row r="19" spans="1:5" ht="27" customHeight="1">
      <c r="A19" s="408"/>
      <c r="B19" s="408"/>
      <c r="C19" s="302" t="s">
        <v>176</v>
      </c>
      <c r="D19" s="303">
        <f t="shared" si="0"/>
        <v>0</v>
      </c>
      <c r="E19" s="303">
        <f t="shared" si="1"/>
        <v>0</v>
      </c>
    </row>
    <row r="20" spans="1:5" ht="27" customHeight="1">
      <c r="A20" s="408"/>
      <c r="B20" s="305"/>
      <c r="C20" s="306" t="s">
        <v>230</v>
      </c>
      <c r="D20" s="303">
        <f t="shared" si="0"/>
        <v>0</v>
      </c>
      <c r="E20" s="303">
        <f t="shared" si="1"/>
        <v>0</v>
      </c>
    </row>
    <row r="21" spans="1:5" ht="27" customHeight="1">
      <c r="A21" s="307" t="s">
        <v>158</v>
      </c>
      <c r="B21" s="307"/>
      <c r="C21" s="307"/>
      <c r="D21" s="308">
        <f>SUM(D7:D11)</f>
        <v>0</v>
      </c>
      <c r="E21" s="308">
        <f>SUM(E7:E11)</f>
        <v>0</v>
      </c>
    </row>
    <row r="22" spans="1:5" ht="27" customHeight="1">
      <c r="A22" s="307" t="s">
        <v>324</v>
      </c>
      <c r="B22" s="307"/>
      <c r="C22" s="307"/>
      <c r="D22" s="309"/>
      <c r="E22" s="310">
        <f>COUNTIF('自動車台帳'!N5:N304,(RIGHT(LEFT($D$25,5),3)))</f>
        <v>0</v>
      </c>
    </row>
    <row r="23" ht="12" hidden="1"/>
    <row r="24" spans="2:6" ht="21" customHeight="1" hidden="1" thickBot="1">
      <c r="B24" s="301"/>
      <c r="C24" s="311"/>
      <c r="D24" s="311"/>
      <c r="E24" s="311"/>
      <c r="F24" s="312"/>
    </row>
    <row r="25" spans="1:5" ht="12" customHeight="1" hidden="1">
      <c r="A25" s="420"/>
      <c r="B25" s="421"/>
      <c r="C25" s="422"/>
      <c r="D25" s="434" t="str">
        <f>LOOKUP('自動車台帳'!$F$1,実績報告年度,'自動車台帳'!$M$336:$M$339)</f>
        <v>平成14年度</v>
      </c>
      <c r="E25" s="435"/>
    </row>
    <row r="26" spans="1:5" ht="12" customHeight="1" hidden="1">
      <c r="A26" s="423"/>
      <c r="B26" s="424"/>
      <c r="C26" s="425"/>
      <c r="D26" s="436"/>
      <c r="E26" s="437"/>
    </row>
    <row r="27" spans="1:5" ht="12" customHeight="1" hidden="1">
      <c r="A27" s="423"/>
      <c r="B27" s="424"/>
      <c r="C27" s="425"/>
      <c r="D27" s="430" t="s">
        <v>309</v>
      </c>
      <c r="E27" s="386" t="s">
        <v>206</v>
      </c>
    </row>
    <row r="28" spans="1:5" ht="12.75" hidden="1" thickBot="1">
      <c r="A28" s="426"/>
      <c r="B28" s="427"/>
      <c r="C28" s="428"/>
      <c r="D28" s="431"/>
      <c r="E28" s="431"/>
    </row>
    <row r="29" spans="1:5" s="315" customFormat="1" ht="24.75" customHeight="1" hidden="1">
      <c r="A29" s="415" t="s">
        <v>45</v>
      </c>
      <c r="B29" s="413" t="s">
        <v>196</v>
      </c>
      <c r="C29" s="313" t="s">
        <v>187</v>
      </c>
      <c r="D29" s="314">
        <f>COUNTIF('自動車台帳'!BH$5:BH$304,(RIGHT(LEFT($D$25,4),2)&amp;"1乗"))</f>
        <v>0</v>
      </c>
      <c r="E29" s="314">
        <f>COUNTIF('自動車台帳'!BI$5:BI$304,(RIGHT(LEFT($D$25,4),2)&amp;"1乗"))</f>
        <v>0</v>
      </c>
    </row>
    <row r="30" spans="1:5" s="315" customFormat="1" ht="24.75" customHeight="1" hidden="1">
      <c r="A30" s="419"/>
      <c r="B30" s="414"/>
      <c r="C30" s="302" t="s">
        <v>48</v>
      </c>
      <c r="D30" s="303">
        <f>COUNTIF('自動車台帳'!BH$5:BH$304,(RIGHT(LEFT($D$25,4),2)&amp;"2乗"))</f>
        <v>0</v>
      </c>
      <c r="E30" s="303">
        <f>COUNTIF('自動車台帳'!BI$5:BI$304,(RIGHT(LEFT($D$25,4),2)&amp;"2乗"))</f>
        <v>0</v>
      </c>
    </row>
    <row r="31" spans="1:5" s="315" customFormat="1" ht="24.75" customHeight="1" hidden="1">
      <c r="A31" s="419"/>
      <c r="B31" s="414"/>
      <c r="C31" s="302" t="s">
        <v>27</v>
      </c>
      <c r="D31" s="303">
        <f>COUNTIF('自動車台帳'!BH$5:BH$304,(RIGHT(LEFT($D$25,4),2)&amp;"3乗"))</f>
        <v>0</v>
      </c>
      <c r="E31" s="303">
        <f>COUNTIF('自動車台帳'!BI$5:BI$304,(RIGHT(LEFT($D$25,4),2)&amp;"3乗"))</f>
        <v>0</v>
      </c>
    </row>
    <row r="32" spans="1:5" s="315" customFormat="1" ht="24.75" customHeight="1" hidden="1">
      <c r="A32" s="419"/>
      <c r="B32" s="414"/>
      <c r="C32" s="302" t="s">
        <v>186</v>
      </c>
      <c r="D32" s="303">
        <f>COUNTIF('自動車台帳'!BH$5:BH$304,(RIGHT(LEFT($D$25,4),2)&amp;"4乗"))</f>
        <v>0</v>
      </c>
      <c r="E32" s="303">
        <f>COUNTIF('自動車台帳'!BI$5:BI$304,(RIGHT(LEFT($D$25,4),2)&amp;"4乗"))</f>
        <v>0</v>
      </c>
    </row>
    <row r="33" spans="1:5" s="315" customFormat="1" ht="24.75" customHeight="1" hidden="1">
      <c r="A33" s="419"/>
      <c r="B33" s="412"/>
      <c r="C33" s="302" t="s">
        <v>193</v>
      </c>
      <c r="D33" s="303">
        <f>COUNTIF('自動車台帳'!BH$5:BH$304,(RIGHT(LEFT($D$25,4),2)&amp;"5乗"))</f>
        <v>0</v>
      </c>
      <c r="E33" s="303">
        <f>COUNTIF('自動車台帳'!BI$5:BI$304,(RIGHT(LEFT($D$25,4),2)&amp;"5乗"))</f>
        <v>0</v>
      </c>
    </row>
    <row r="34" spans="1:5" s="315" customFormat="1" ht="24.75" customHeight="1" hidden="1">
      <c r="A34" s="419"/>
      <c r="B34" s="411" t="s">
        <v>42</v>
      </c>
      <c r="C34" s="304" t="s">
        <v>8</v>
      </c>
      <c r="D34" s="303">
        <f>COUNTIF('自動車台帳'!BH$5:BH$304,(RIGHT(LEFT($D$25,4),2)&amp;"6乗"))</f>
        <v>0</v>
      </c>
      <c r="E34" s="303">
        <f>COUNTIF('自動車台帳'!BI$5:BI$304,(RIGHT(LEFT($D$25,4),2)&amp;"6乗"))</f>
        <v>0</v>
      </c>
    </row>
    <row r="35" spans="1:5" s="315" customFormat="1" ht="24.75" customHeight="1" hidden="1">
      <c r="A35" s="419"/>
      <c r="B35" s="414"/>
      <c r="C35" s="304" t="s">
        <v>9</v>
      </c>
      <c r="D35" s="303">
        <f>COUNTIF('自動車台帳'!BH$5:BH$304,(RIGHT(LEFT($D$25,4),2)&amp;"7乗"))</f>
        <v>0</v>
      </c>
      <c r="E35" s="303">
        <f>COUNTIF('自動車台帳'!BI$5:BI$304,(RIGHT(LEFT($D$25,4),2)&amp;"7乗"))</f>
        <v>0</v>
      </c>
    </row>
    <row r="36" spans="1:5" s="315" customFormat="1" ht="24.75" customHeight="1" hidden="1">
      <c r="A36" s="419"/>
      <c r="B36" s="414"/>
      <c r="C36" s="304" t="s">
        <v>10</v>
      </c>
      <c r="D36" s="303">
        <f>COUNTIF('自動車台帳'!BH$5:BH$304,(RIGHT(LEFT($D$25,4),2)&amp;"8乗"))</f>
        <v>0</v>
      </c>
      <c r="E36" s="303">
        <f>COUNTIF('自動車台帳'!BI$5:BI$304,(RIGHT(LEFT($D$25,4),2)&amp;"8乗"))</f>
        <v>0</v>
      </c>
    </row>
    <row r="37" spans="1:5" s="315" customFormat="1" ht="24.75" customHeight="1" hidden="1">
      <c r="A37" s="419"/>
      <c r="B37" s="414"/>
      <c r="C37" s="304" t="s">
        <v>11</v>
      </c>
      <c r="D37" s="303">
        <f>COUNTIF('自動車台帳'!BH$5:BH$304,(RIGHT(LEFT($D$25,4),2)&amp;"9乗"))</f>
        <v>0</v>
      </c>
      <c r="E37" s="303">
        <f>COUNTIF('自動車台帳'!BI$5:BI$304,(RIGHT(LEFT($D$25,4),2)&amp;"9乗"))</f>
        <v>0</v>
      </c>
    </row>
    <row r="38" spans="1:5" s="315" customFormat="1" ht="24.75" customHeight="1" hidden="1">
      <c r="A38" s="419"/>
      <c r="B38" s="414"/>
      <c r="C38" s="304" t="s">
        <v>184</v>
      </c>
      <c r="D38" s="303">
        <f>COUNTIF('自動車台帳'!BH$5:BH$304,(RIGHT(LEFT($D$25,4),2)&amp;"10乗"))</f>
        <v>0</v>
      </c>
      <c r="E38" s="303">
        <f>COUNTIF('自動車台帳'!BI$5:BI$304,(RIGHT(LEFT($D$25,4),2)&amp;"10乗"))</f>
        <v>0</v>
      </c>
    </row>
    <row r="39" spans="1:5" s="315" customFormat="1" ht="24.75" customHeight="1" hidden="1">
      <c r="A39" s="419"/>
      <c r="B39" s="412"/>
      <c r="C39" s="304" t="s">
        <v>12</v>
      </c>
      <c r="D39" s="303">
        <f>COUNTIF('自動車台帳'!BH$5:BH$304,(RIGHT(LEFT($D$25,4),2)&amp;"11乗"))</f>
        <v>0</v>
      </c>
      <c r="E39" s="303">
        <f>COUNTIF('自動車台帳'!BI$5:BI$304,(RIGHT(LEFT($D$25,4),2)&amp;"11乗"))</f>
        <v>0</v>
      </c>
    </row>
    <row r="40" spans="1:5" s="315" customFormat="1" ht="24.75" customHeight="1" hidden="1">
      <c r="A40" s="419"/>
      <c r="B40" s="411" t="s">
        <v>128</v>
      </c>
      <c r="C40" s="302" t="s">
        <v>108</v>
      </c>
      <c r="D40" s="303">
        <f>COUNTIF('自動車台帳'!BH$5:BH$304,(RIGHT(LEFT($D$25,4),2)&amp;"12乗"))</f>
        <v>0</v>
      </c>
      <c r="E40" s="303">
        <f>COUNTIF('自動車台帳'!BI$5:BI$304,(RIGHT(LEFT($D$25,4),2)&amp;"12乗"))</f>
        <v>0</v>
      </c>
    </row>
    <row r="41" spans="1:5" s="315" customFormat="1" ht="24.75" customHeight="1" hidden="1">
      <c r="A41" s="419"/>
      <c r="B41" s="412"/>
      <c r="C41" s="302" t="s">
        <v>176</v>
      </c>
      <c r="D41" s="303">
        <f>COUNTIF('自動車台帳'!BH$5:BH$304,(RIGHT(LEFT($D$25,4),2)&amp;"13乗"))</f>
        <v>0</v>
      </c>
      <c r="E41" s="303">
        <f>COUNTIF('自動車台帳'!BI$5:BI$304,(RIGHT(LEFT($D$25,4),2)&amp;"13乗"))</f>
        <v>0</v>
      </c>
    </row>
    <row r="42" spans="1:5" s="315" customFormat="1" ht="24.75" customHeight="1" hidden="1" thickBot="1">
      <c r="A42" s="429"/>
      <c r="B42" s="316"/>
      <c r="C42" s="317" t="s">
        <v>230</v>
      </c>
      <c r="D42" s="318">
        <f>SUM(D29:D41)</f>
        <v>0</v>
      </c>
      <c r="E42" s="318">
        <f>SUM(E29:E41)</f>
        <v>0</v>
      </c>
    </row>
    <row r="43" spans="1:5" s="315" customFormat="1" ht="24.75" customHeight="1" hidden="1">
      <c r="A43" s="418" t="s">
        <v>153</v>
      </c>
      <c r="B43" s="413" t="s">
        <v>196</v>
      </c>
      <c r="C43" s="313" t="s">
        <v>187</v>
      </c>
      <c r="D43" s="314">
        <f>COUNTIF('自動車台帳'!BH$5:BH$304,(RIGHT(LEFT($D$25,4),2)&amp;"1貨1"))</f>
        <v>0</v>
      </c>
      <c r="E43" s="314">
        <f>COUNTIF('自動車台帳'!BI$5:BI$304,(RIGHT(LEFT($D$25,4),2)&amp;"1貨1"))</f>
        <v>0</v>
      </c>
    </row>
    <row r="44" spans="1:5" s="315" customFormat="1" ht="24.75" customHeight="1" hidden="1">
      <c r="A44" s="419"/>
      <c r="B44" s="414"/>
      <c r="C44" s="302" t="s">
        <v>48</v>
      </c>
      <c r="D44" s="303">
        <f>COUNTIF('自動車台帳'!BH$5:BH$304,(RIGHT(LEFT($D$25,4),2)&amp;"2貨1"))</f>
        <v>0</v>
      </c>
      <c r="E44" s="303">
        <f>COUNTIF('自動車台帳'!BI$5:BI$304,(RIGHT(LEFT($D$25,4),2)&amp;"2貨1"))</f>
        <v>0</v>
      </c>
    </row>
    <row r="45" spans="1:5" s="315" customFormat="1" ht="24.75" customHeight="1" hidden="1">
      <c r="A45" s="419"/>
      <c r="B45" s="414"/>
      <c r="C45" s="302" t="s">
        <v>27</v>
      </c>
      <c r="D45" s="303">
        <f>COUNTIF('自動車台帳'!BH$5:BH$304,(RIGHT(LEFT($D$25,4),2)&amp;"3貨1"))</f>
        <v>0</v>
      </c>
      <c r="E45" s="303">
        <f>COUNTIF('自動車台帳'!BI$5:BI$304,(RIGHT(LEFT($D$25,4),2)&amp;"3貨1"))</f>
        <v>0</v>
      </c>
    </row>
    <row r="46" spans="1:5" s="315" customFormat="1" ht="24.75" customHeight="1" hidden="1">
      <c r="A46" s="419"/>
      <c r="B46" s="414"/>
      <c r="C46" s="302" t="s">
        <v>186</v>
      </c>
      <c r="D46" s="303">
        <f>COUNTIF('自動車台帳'!BH$5:BH$304,(RIGHT(LEFT($D$25,4),2)&amp;"4貨1"))</f>
        <v>0</v>
      </c>
      <c r="E46" s="303">
        <f>COUNTIF('自動車台帳'!BI$5:BI$304,(RIGHT(LEFT($D$25,4),2)&amp;"4貨1"))</f>
        <v>0</v>
      </c>
    </row>
    <row r="47" spans="1:5" s="315" customFormat="1" ht="24.75" customHeight="1" hidden="1">
      <c r="A47" s="419"/>
      <c r="B47" s="412"/>
      <c r="C47" s="302" t="s">
        <v>193</v>
      </c>
      <c r="D47" s="303">
        <f>COUNTIF('自動車台帳'!BH$5:BH$304,(RIGHT(LEFT($D$25,4),2)&amp;"5貨1"))</f>
        <v>0</v>
      </c>
      <c r="E47" s="303">
        <f>COUNTIF('自動車台帳'!BI$5:BI$304,(RIGHT(LEFT($D$25,4),2)&amp;"5貨1"))</f>
        <v>0</v>
      </c>
    </row>
    <row r="48" spans="1:5" s="315" customFormat="1" ht="24.75" customHeight="1" hidden="1">
      <c r="A48" s="419"/>
      <c r="B48" s="411" t="s">
        <v>42</v>
      </c>
      <c r="C48" s="304" t="s">
        <v>8</v>
      </c>
      <c r="D48" s="303">
        <f>COUNTIF('自動車台帳'!BH$5:BH$304,(RIGHT(LEFT($D$25,4),2)&amp;"6貨1"))</f>
        <v>0</v>
      </c>
      <c r="E48" s="303">
        <f>COUNTIF('自動車台帳'!BI$5:BI$304,(RIGHT(LEFT($D$25,4),2)&amp;"6貨1"))</f>
        <v>0</v>
      </c>
    </row>
    <row r="49" spans="1:5" s="315" customFormat="1" ht="24.75" customHeight="1" hidden="1">
      <c r="A49" s="419"/>
      <c r="B49" s="414"/>
      <c r="C49" s="304" t="s">
        <v>9</v>
      </c>
      <c r="D49" s="303">
        <f>COUNTIF('自動車台帳'!BH$5:BH$304,(RIGHT(LEFT($D$25,4),2)&amp;"7貨1"))</f>
        <v>0</v>
      </c>
      <c r="E49" s="303">
        <f>COUNTIF('自動車台帳'!BI$5:BI$304,(RIGHT(LEFT($D$25,4),2)&amp;"7貨1"))</f>
        <v>0</v>
      </c>
    </row>
    <row r="50" spans="1:5" s="315" customFormat="1" ht="24.75" customHeight="1" hidden="1">
      <c r="A50" s="419"/>
      <c r="B50" s="414"/>
      <c r="C50" s="304" t="s">
        <v>10</v>
      </c>
      <c r="D50" s="303">
        <f>COUNTIF('自動車台帳'!BH$5:BH$304,(RIGHT(LEFT($D$25,4),2)&amp;"8貨1"))</f>
        <v>0</v>
      </c>
      <c r="E50" s="303">
        <f>COUNTIF('自動車台帳'!BI$5:BI$304,(RIGHT(LEFT($D$25,4),2)&amp;"8貨1"))</f>
        <v>0</v>
      </c>
    </row>
    <row r="51" spans="1:5" s="315" customFormat="1" ht="24.75" customHeight="1" hidden="1">
      <c r="A51" s="419"/>
      <c r="B51" s="414"/>
      <c r="C51" s="304" t="s">
        <v>11</v>
      </c>
      <c r="D51" s="303">
        <f>COUNTIF('自動車台帳'!BH$5:BH$304,(RIGHT(LEFT($D$25,4),2)&amp;"9貨1"))</f>
        <v>0</v>
      </c>
      <c r="E51" s="303">
        <f>COUNTIF('自動車台帳'!BI$5:BI$304,(RIGHT(LEFT($D$25,4),2)&amp;"9貨1"))</f>
        <v>0</v>
      </c>
    </row>
    <row r="52" spans="1:5" s="315" customFormat="1" ht="24.75" customHeight="1" hidden="1">
      <c r="A52" s="419"/>
      <c r="B52" s="414"/>
      <c r="C52" s="304" t="s">
        <v>184</v>
      </c>
      <c r="D52" s="303">
        <f>COUNTIF('自動車台帳'!BH$5:BH$304,(RIGHT(LEFT($D$25,4),2)&amp;"10貨1"))</f>
        <v>0</v>
      </c>
      <c r="E52" s="303">
        <f>COUNTIF('自動車台帳'!BI$5:BI$304,(RIGHT(LEFT($D$25,4),2)&amp;"10貨1"))</f>
        <v>0</v>
      </c>
    </row>
    <row r="53" spans="1:5" s="315" customFormat="1" ht="24.75" customHeight="1" hidden="1">
      <c r="A53" s="419"/>
      <c r="B53" s="412"/>
      <c r="C53" s="304" t="s">
        <v>12</v>
      </c>
      <c r="D53" s="303">
        <f>COUNTIF('自動車台帳'!BH$5:BH$304,(RIGHT(LEFT($D$25,4),2)&amp;"11貨1"))</f>
        <v>0</v>
      </c>
      <c r="E53" s="303">
        <f>COUNTIF('自動車台帳'!BI$5:BI$304,(RIGHT(LEFT($D$25,4),2)&amp;"11貨1"))</f>
        <v>0</v>
      </c>
    </row>
    <row r="54" spans="1:5" s="315" customFormat="1" ht="24.75" customHeight="1" hidden="1">
      <c r="A54" s="419"/>
      <c r="B54" s="411" t="s">
        <v>128</v>
      </c>
      <c r="C54" s="302" t="s">
        <v>175</v>
      </c>
      <c r="D54" s="303">
        <f>COUNTIF('自動車台帳'!BH$5:BH$304,(RIGHT(LEFT($D$25,4),2)&amp;"12貨1"))</f>
        <v>0</v>
      </c>
      <c r="E54" s="303">
        <f>COUNTIF('自動車台帳'!BI$5:BI$304,(RIGHT(LEFT($D$25,4),2)&amp;"12貨1"))</f>
        <v>0</v>
      </c>
    </row>
    <row r="55" spans="1:5" s="315" customFormat="1" ht="24.75" customHeight="1" hidden="1">
      <c r="A55" s="419"/>
      <c r="B55" s="412"/>
      <c r="C55" s="302" t="s">
        <v>176</v>
      </c>
      <c r="D55" s="303">
        <f>COUNTIF('自動車台帳'!BH$5:BH$304,(RIGHT(LEFT($D$25,4),2)&amp;"13貨1"))</f>
        <v>0</v>
      </c>
      <c r="E55" s="303">
        <f>COUNTIF('自動車台帳'!BI$5:BI$304,(RIGHT(LEFT($D$25,4),2)&amp;"13貨1"))</f>
        <v>0</v>
      </c>
    </row>
    <row r="56" spans="1:5" s="315" customFormat="1" ht="24.75" customHeight="1" hidden="1" thickBot="1">
      <c r="A56" s="429"/>
      <c r="B56" s="316"/>
      <c r="C56" s="317" t="s">
        <v>230</v>
      </c>
      <c r="D56" s="318">
        <f>SUM(D43:D55)</f>
        <v>0</v>
      </c>
      <c r="E56" s="318">
        <f>SUM(E43:E55)</f>
        <v>0</v>
      </c>
    </row>
    <row r="57" spans="1:5" s="315" customFormat="1" ht="24.75" customHeight="1" hidden="1">
      <c r="A57" s="418" t="s">
        <v>154</v>
      </c>
      <c r="B57" s="413" t="s">
        <v>196</v>
      </c>
      <c r="C57" s="313" t="s">
        <v>187</v>
      </c>
      <c r="D57" s="314">
        <f>COUNTIF('自動車台帳'!BH$5:BH$304,(RIGHT(LEFT($D$25,4),2)&amp;"1貨2"))</f>
        <v>0</v>
      </c>
      <c r="E57" s="314">
        <f>COUNTIF('自動車台帳'!BI$5:BI$304,(RIGHT(LEFT($D$25,4),2)&amp;"1貨2"))</f>
        <v>0</v>
      </c>
    </row>
    <row r="58" spans="1:5" s="315" customFormat="1" ht="24.75" customHeight="1" hidden="1">
      <c r="A58" s="419"/>
      <c r="B58" s="414"/>
      <c r="C58" s="302" t="s">
        <v>48</v>
      </c>
      <c r="D58" s="303">
        <f>COUNTIF('自動車台帳'!BH$5:BH$304,(RIGHT(LEFT($D$25,4),2)&amp;"2貨2"))</f>
        <v>0</v>
      </c>
      <c r="E58" s="303">
        <f>COUNTIF('自動車台帳'!BI$5:BI$304,(RIGHT(LEFT($D$25,4),2)&amp;"2貨2"))</f>
        <v>0</v>
      </c>
    </row>
    <row r="59" spans="1:5" s="315" customFormat="1" ht="24.75" customHeight="1" hidden="1">
      <c r="A59" s="419"/>
      <c r="B59" s="414"/>
      <c r="C59" s="302" t="s">
        <v>27</v>
      </c>
      <c r="D59" s="303">
        <f>COUNTIF('自動車台帳'!BH$5:BH$304,(RIGHT(LEFT($D$25,4),2)&amp;"3貨2"))</f>
        <v>0</v>
      </c>
      <c r="E59" s="303">
        <f>COUNTIF('自動車台帳'!BI$5:BI$304,(RIGHT(LEFT($D$25,4),2)&amp;"3貨2"))</f>
        <v>0</v>
      </c>
    </row>
    <row r="60" spans="1:5" ht="24.75" customHeight="1" hidden="1">
      <c r="A60" s="419"/>
      <c r="B60" s="414"/>
      <c r="C60" s="302" t="s">
        <v>186</v>
      </c>
      <c r="D60" s="303">
        <f>COUNTIF('自動車台帳'!BH$5:BH$304,(RIGHT(LEFT($D$25,4),2)&amp;"4貨2"))</f>
        <v>0</v>
      </c>
      <c r="E60" s="303">
        <f>COUNTIF('自動車台帳'!BI$5:BI$304,(RIGHT(LEFT($D$25,4),2)&amp;"4貨2"))</f>
        <v>0</v>
      </c>
    </row>
    <row r="61" spans="1:5" ht="24.75" customHeight="1" hidden="1">
      <c r="A61" s="416"/>
      <c r="B61" s="412"/>
      <c r="C61" s="302" t="s">
        <v>193</v>
      </c>
      <c r="D61" s="303">
        <f>COUNTIF('自動車台帳'!BH$5:BH$304,(RIGHT(LEFT($D$25,4),2)&amp;"5貨2"))</f>
        <v>0</v>
      </c>
      <c r="E61" s="303">
        <f>COUNTIF('自動車台帳'!BI$5:BI$304,(RIGHT(LEFT($D$25,4),2)&amp;"5貨2"))</f>
        <v>0</v>
      </c>
    </row>
    <row r="62" spans="1:5" ht="24.75" customHeight="1" hidden="1">
      <c r="A62" s="416"/>
      <c r="B62" s="411" t="s">
        <v>42</v>
      </c>
      <c r="C62" s="304" t="s">
        <v>8</v>
      </c>
      <c r="D62" s="303">
        <f>COUNTIF('自動車台帳'!BH$5:BH$304,(RIGHT(LEFT($D$25,4),2)&amp;"6貨2"))</f>
        <v>0</v>
      </c>
      <c r="E62" s="303">
        <f>COUNTIF('自動車台帳'!BI$5:BI$304,(RIGHT(LEFT($D$25,4),2)&amp;"6貨2"))</f>
        <v>0</v>
      </c>
    </row>
    <row r="63" spans="1:5" ht="24.75" customHeight="1" hidden="1">
      <c r="A63" s="416"/>
      <c r="B63" s="414"/>
      <c r="C63" s="304" t="s">
        <v>9</v>
      </c>
      <c r="D63" s="303">
        <f>COUNTIF('自動車台帳'!BH$5:BH$304,(RIGHT(LEFT($D$25,4),2)&amp;"7貨2"))</f>
        <v>0</v>
      </c>
      <c r="E63" s="303">
        <f>COUNTIF('自動車台帳'!BI$5:BI$304,(RIGHT(LEFT($D$25,4),2)&amp;"7貨2"))</f>
        <v>0</v>
      </c>
    </row>
    <row r="64" spans="1:5" ht="24.75" customHeight="1" hidden="1">
      <c r="A64" s="416"/>
      <c r="B64" s="414"/>
      <c r="C64" s="304" t="s">
        <v>10</v>
      </c>
      <c r="D64" s="303">
        <f>COUNTIF('自動車台帳'!BH$5:BH$304,(RIGHT(LEFT($D$25,4),2)&amp;"8貨2"))</f>
        <v>0</v>
      </c>
      <c r="E64" s="303">
        <f>COUNTIF('自動車台帳'!BI$5:BI$304,(RIGHT(LEFT($D$25,4),2)&amp;"8貨2"))</f>
        <v>0</v>
      </c>
    </row>
    <row r="65" spans="1:5" ht="24.75" customHeight="1" hidden="1">
      <c r="A65" s="416"/>
      <c r="B65" s="414"/>
      <c r="C65" s="304" t="s">
        <v>11</v>
      </c>
      <c r="D65" s="303">
        <f>COUNTIF('自動車台帳'!BH$5:BH$304,(RIGHT(LEFT($D$25,4),2)&amp;"9貨2"))</f>
        <v>0</v>
      </c>
      <c r="E65" s="303">
        <f>COUNTIF('自動車台帳'!BI$5:BI$304,(RIGHT(LEFT($D$25,4),2)&amp;"9貨2"))</f>
        <v>0</v>
      </c>
    </row>
    <row r="66" spans="1:5" ht="24.75" customHeight="1" hidden="1">
      <c r="A66" s="416"/>
      <c r="B66" s="414"/>
      <c r="C66" s="304" t="s">
        <v>184</v>
      </c>
      <c r="D66" s="303">
        <f>COUNTIF('自動車台帳'!BH$5:BH$304,(RIGHT(LEFT($D$25,4),2)&amp;"10貨2"))</f>
        <v>0</v>
      </c>
      <c r="E66" s="303">
        <f>COUNTIF('自動車台帳'!BI$5:BI$304,(RIGHT(LEFT($D$25,4),2)&amp;"10貨2"))</f>
        <v>0</v>
      </c>
    </row>
    <row r="67" spans="1:5" ht="24.75" customHeight="1" hidden="1">
      <c r="A67" s="416"/>
      <c r="B67" s="412"/>
      <c r="C67" s="304" t="s">
        <v>12</v>
      </c>
      <c r="D67" s="303">
        <f>COUNTIF('自動車台帳'!BH$5:BH$304,(RIGHT(LEFT($D$25,4),2)&amp;"11貨2"))</f>
        <v>0</v>
      </c>
      <c r="E67" s="303">
        <f>COUNTIF('自動車台帳'!BI$5:BI$304,(RIGHT(LEFT($D$25,4),2)&amp;"11貨2"))</f>
        <v>0</v>
      </c>
    </row>
    <row r="68" spans="1:5" ht="24.75" customHeight="1" hidden="1">
      <c r="A68" s="416"/>
      <c r="B68" s="411" t="s">
        <v>128</v>
      </c>
      <c r="C68" s="302" t="s">
        <v>108</v>
      </c>
      <c r="D68" s="303">
        <f>COUNTIF('自動車台帳'!BH$5:BH$304,(RIGHT(LEFT($D$25,4),2)&amp;"12貨2"))</f>
        <v>0</v>
      </c>
      <c r="E68" s="303">
        <f>COUNTIF('自動車台帳'!BI$5:BI$304,(RIGHT(LEFT($D$25,4),2)&amp;"12貨2"))</f>
        <v>0</v>
      </c>
    </row>
    <row r="69" spans="1:5" ht="24.75" customHeight="1" hidden="1">
      <c r="A69" s="416"/>
      <c r="B69" s="412"/>
      <c r="C69" s="302" t="s">
        <v>176</v>
      </c>
      <c r="D69" s="303">
        <f>COUNTIF('自動車台帳'!BH$5:BH$304,(RIGHT(LEFT($D$25,4),2)&amp;"13貨2"))</f>
        <v>0</v>
      </c>
      <c r="E69" s="303">
        <f>COUNTIF('自動車台帳'!BI$5:BI$304,(RIGHT(LEFT($D$25,4),2)&amp;"13貨2"))</f>
        <v>0</v>
      </c>
    </row>
    <row r="70" spans="1:5" ht="24.75" customHeight="1" hidden="1" thickBot="1">
      <c r="A70" s="417"/>
      <c r="B70" s="319"/>
      <c r="C70" s="317" t="s">
        <v>230</v>
      </c>
      <c r="D70" s="318">
        <f>SUM(D57:D69)</f>
        <v>0</v>
      </c>
      <c r="E70" s="318">
        <f>SUM(E57:E69)</f>
        <v>0</v>
      </c>
    </row>
    <row r="71" spans="1:5" ht="24.75" customHeight="1" hidden="1">
      <c r="A71" s="415" t="s">
        <v>155</v>
      </c>
      <c r="B71" s="413" t="s">
        <v>196</v>
      </c>
      <c r="C71" s="313" t="s">
        <v>187</v>
      </c>
      <c r="D71" s="314">
        <f>COUNTIF('自動車台帳'!BH$5:BH$304,(RIGHT(LEFT($D$25,4),2)&amp;"1貨3"))</f>
        <v>0</v>
      </c>
      <c r="E71" s="314">
        <f>COUNTIF('自動車台帳'!BI$5:BI$304,(RIGHT(LEFT($D$25,4),2)&amp;"1貨3"))</f>
        <v>0</v>
      </c>
    </row>
    <row r="72" spans="1:5" ht="24.75" customHeight="1" hidden="1">
      <c r="A72" s="416"/>
      <c r="B72" s="414"/>
      <c r="C72" s="302" t="s">
        <v>48</v>
      </c>
      <c r="D72" s="303">
        <f>COUNTIF('自動車台帳'!BH$5:BH$304,(RIGHT(LEFT($D$25,4),2)&amp;"2貨3"))</f>
        <v>0</v>
      </c>
      <c r="E72" s="303">
        <f>COUNTIF('自動車台帳'!BI$5:BI$304,(RIGHT(LEFT($D$25,4),2)&amp;"2貨3"))</f>
        <v>0</v>
      </c>
    </row>
    <row r="73" spans="1:5" ht="24.75" customHeight="1" hidden="1">
      <c r="A73" s="416"/>
      <c r="B73" s="414"/>
      <c r="C73" s="302" t="s">
        <v>27</v>
      </c>
      <c r="D73" s="303">
        <f>COUNTIF('自動車台帳'!BH$5:BH$304,(RIGHT(LEFT($D$25,4),2)&amp;"3貨3"))</f>
        <v>0</v>
      </c>
      <c r="E73" s="303">
        <f>COUNTIF('自動車台帳'!BI$5:BI$304,(RIGHT(LEFT($D$25,4),2)&amp;"3貨3"))</f>
        <v>0</v>
      </c>
    </row>
    <row r="74" spans="1:5" ht="24.75" customHeight="1" hidden="1">
      <c r="A74" s="416"/>
      <c r="B74" s="414"/>
      <c r="C74" s="302" t="s">
        <v>186</v>
      </c>
      <c r="D74" s="303">
        <f>COUNTIF('自動車台帳'!BH$5:BH$304,(RIGHT(LEFT($D$25,4),2)&amp;"4貨3"))</f>
        <v>0</v>
      </c>
      <c r="E74" s="303">
        <f>COUNTIF('自動車台帳'!BI$5:BI$304,(RIGHT(LEFT($D$25,4),2)&amp;"4貨3"))</f>
        <v>0</v>
      </c>
    </row>
    <row r="75" spans="1:5" ht="24.75" customHeight="1" hidden="1">
      <c r="A75" s="416"/>
      <c r="B75" s="412"/>
      <c r="C75" s="302" t="s">
        <v>193</v>
      </c>
      <c r="D75" s="303">
        <f>COUNTIF('自動車台帳'!BH$5:BH$304,(RIGHT(LEFT($D$25,4),2)&amp;"5貨3"))</f>
        <v>0</v>
      </c>
      <c r="E75" s="303">
        <f>COUNTIF('自動車台帳'!BI$5:BI$304,(RIGHT(LEFT($D$25,4),2)&amp;"5貨3"))</f>
        <v>0</v>
      </c>
    </row>
    <row r="76" spans="1:5" ht="24.75" customHeight="1" hidden="1">
      <c r="A76" s="416"/>
      <c r="B76" s="411" t="s">
        <v>42</v>
      </c>
      <c r="C76" s="304" t="s">
        <v>8</v>
      </c>
      <c r="D76" s="303">
        <f>COUNTIF('自動車台帳'!BH$5:BH$304,(RIGHT(LEFT($D$25,4),2)&amp;"6貨3"))</f>
        <v>0</v>
      </c>
      <c r="E76" s="303">
        <f>COUNTIF('自動車台帳'!BI$5:BI$304,(RIGHT(LEFT($D$25,4),2)&amp;"6貨3"))</f>
        <v>0</v>
      </c>
    </row>
    <row r="77" spans="1:5" ht="24.75" customHeight="1" hidden="1">
      <c r="A77" s="416"/>
      <c r="B77" s="414"/>
      <c r="C77" s="304" t="s">
        <v>9</v>
      </c>
      <c r="D77" s="303">
        <f>COUNTIF('自動車台帳'!BH$5:BH$304,(RIGHT(LEFT($D$25,4),2)&amp;"7貨3"))</f>
        <v>0</v>
      </c>
      <c r="E77" s="303">
        <f>COUNTIF('自動車台帳'!BI$5:BI$304,(RIGHT(LEFT($D$25,4),2)&amp;"7貨3"))</f>
        <v>0</v>
      </c>
    </row>
    <row r="78" spans="1:5" ht="24.75" customHeight="1" hidden="1">
      <c r="A78" s="416"/>
      <c r="B78" s="414"/>
      <c r="C78" s="304" t="s">
        <v>10</v>
      </c>
      <c r="D78" s="303">
        <f>COUNTIF('自動車台帳'!BH$5:BH$304,(RIGHT(LEFT($D$25,4),2)&amp;"8貨3"))</f>
        <v>0</v>
      </c>
      <c r="E78" s="303">
        <f>COUNTIF('自動車台帳'!BI$5:BI$304,(RIGHT(LEFT($D$25,4),2)&amp;"8貨3"))</f>
        <v>0</v>
      </c>
    </row>
    <row r="79" spans="1:5" ht="24.75" customHeight="1" hidden="1">
      <c r="A79" s="416"/>
      <c r="B79" s="414"/>
      <c r="C79" s="304" t="s">
        <v>11</v>
      </c>
      <c r="D79" s="303">
        <f>COUNTIF('自動車台帳'!BH$5:BH$304,(RIGHT(LEFT($D$25,4),2)&amp;"9貨3"))</f>
        <v>0</v>
      </c>
      <c r="E79" s="303">
        <f>COUNTIF('自動車台帳'!BI$5:BI$304,(RIGHT(LEFT($D$25,4),2)&amp;"9貨3"))</f>
        <v>0</v>
      </c>
    </row>
    <row r="80" spans="1:5" ht="24.75" customHeight="1" hidden="1">
      <c r="A80" s="416"/>
      <c r="B80" s="414"/>
      <c r="C80" s="304" t="s">
        <v>184</v>
      </c>
      <c r="D80" s="303">
        <f>COUNTIF('自動車台帳'!BH$5:BH$304,(RIGHT(LEFT($D$25,4),2)&amp;"10貨3"))</f>
        <v>0</v>
      </c>
      <c r="E80" s="303">
        <f>COUNTIF('自動車台帳'!BI$5:BI$304,(RIGHT(LEFT($D$25,4),2)&amp;"10貨3"))</f>
        <v>0</v>
      </c>
    </row>
    <row r="81" spans="1:5" ht="24.75" customHeight="1" hidden="1">
      <c r="A81" s="416"/>
      <c r="B81" s="412"/>
      <c r="C81" s="304" t="s">
        <v>12</v>
      </c>
      <c r="D81" s="303">
        <f>COUNTIF('自動車台帳'!BH$5:BH$304,(RIGHT(LEFT($D$25,4),2)&amp;"11貨3"))</f>
        <v>0</v>
      </c>
      <c r="E81" s="303">
        <f>COUNTIF('自動車台帳'!BI$5:BI$304,(RIGHT(LEFT($D$25,4),2)&amp;"11貨3"))</f>
        <v>0</v>
      </c>
    </row>
    <row r="82" spans="1:5" ht="24.75" customHeight="1" hidden="1">
      <c r="A82" s="416"/>
      <c r="B82" s="411" t="s">
        <v>128</v>
      </c>
      <c r="C82" s="302" t="s">
        <v>108</v>
      </c>
      <c r="D82" s="303">
        <f>COUNTIF('自動車台帳'!BH$5:BH$304,(RIGHT(LEFT($D$25,4),2)&amp;"12貨3"))</f>
        <v>0</v>
      </c>
      <c r="E82" s="303">
        <f>COUNTIF('自動車台帳'!BI$5:BI$304,(RIGHT(LEFT($D$25,4),2)&amp;"12貨3"))</f>
        <v>0</v>
      </c>
    </row>
    <row r="83" spans="1:5" ht="24.75" customHeight="1" hidden="1">
      <c r="A83" s="416"/>
      <c r="B83" s="412"/>
      <c r="C83" s="302" t="s">
        <v>176</v>
      </c>
      <c r="D83" s="303">
        <f>COUNTIF('自動車台帳'!BH$5:BH$304,(RIGHT(LEFT($D$25,4),2)&amp;"13貨3"))</f>
        <v>0</v>
      </c>
      <c r="E83" s="303">
        <f>COUNTIF('自動車台帳'!BI$5:BI$304,(RIGHT(LEFT($D$25,4),2)&amp;"13貨3"))</f>
        <v>0</v>
      </c>
    </row>
    <row r="84" spans="1:5" ht="24.75" customHeight="1" hidden="1" thickBot="1">
      <c r="A84" s="417"/>
      <c r="B84" s="319"/>
      <c r="C84" s="317" t="s">
        <v>230</v>
      </c>
      <c r="D84" s="318">
        <f>SUM(D71:D83)</f>
        <v>0</v>
      </c>
      <c r="E84" s="318">
        <f>SUM(E71:E83)</f>
        <v>0</v>
      </c>
    </row>
    <row r="85" spans="1:5" ht="24.75" customHeight="1" hidden="1">
      <c r="A85" s="415" t="s">
        <v>146</v>
      </c>
      <c r="B85" s="413" t="s">
        <v>196</v>
      </c>
      <c r="C85" s="313" t="s">
        <v>187</v>
      </c>
      <c r="D85" s="314">
        <f>COUNTIF('自動車台帳'!BH$5:BH$304,(RIGHT(LEFT($D$25,4),2)&amp;"1小"))</f>
        <v>0</v>
      </c>
      <c r="E85" s="314">
        <f>COUNTIF('自動車台帳'!BI$5:BI$304,(RIGHT(LEFT($D$25,4),2)&amp;"1小"))</f>
        <v>0</v>
      </c>
    </row>
    <row r="86" spans="1:5" ht="24.75" customHeight="1" hidden="1">
      <c r="A86" s="416"/>
      <c r="B86" s="414"/>
      <c r="C86" s="302" t="s">
        <v>48</v>
      </c>
      <c r="D86" s="303">
        <f>COUNTIF('自動車台帳'!BH$5:BH$304,(RIGHT(LEFT($D$25,4),2)&amp;"2小"))</f>
        <v>0</v>
      </c>
      <c r="E86" s="303">
        <f>COUNTIF('自動車台帳'!BI$5:BI$304,(RIGHT(LEFT($D$25,4),2)&amp;"2小"))</f>
        <v>0</v>
      </c>
    </row>
    <row r="87" spans="1:5" ht="24.75" customHeight="1" hidden="1">
      <c r="A87" s="416"/>
      <c r="B87" s="414"/>
      <c r="C87" s="302" t="s">
        <v>27</v>
      </c>
      <c r="D87" s="303">
        <f>COUNTIF('自動車台帳'!BH$5:BH$304,(RIGHT(LEFT($D$25,4),2)&amp;"3小"))</f>
        <v>0</v>
      </c>
      <c r="E87" s="303">
        <f>COUNTIF('自動車台帳'!BI$5:BI$304,(RIGHT(LEFT($D$25,4),2)&amp;"3小"))</f>
        <v>0</v>
      </c>
    </row>
    <row r="88" spans="1:5" ht="24.75" customHeight="1" hidden="1">
      <c r="A88" s="416"/>
      <c r="B88" s="414"/>
      <c r="C88" s="302" t="s">
        <v>186</v>
      </c>
      <c r="D88" s="303">
        <f>COUNTIF('自動車台帳'!BH$5:BH$304,(RIGHT(LEFT($D$25,4),2)&amp;"4小"))</f>
        <v>0</v>
      </c>
      <c r="E88" s="303">
        <f>COUNTIF('自動車台帳'!BI$5:BI$304,(RIGHT(LEFT($D$25,4),2)&amp;"4小"))</f>
        <v>0</v>
      </c>
    </row>
    <row r="89" spans="1:5" ht="24.75" customHeight="1" hidden="1">
      <c r="A89" s="416"/>
      <c r="B89" s="412"/>
      <c r="C89" s="302" t="s">
        <v>193</v>
      </c>
      <c r="D89" s="303">
        <f>COUNTIF('自動車台帳'!BH$5:BH$304,(RIGHT(LEFT($D$25,4),2)&amp;"5小"))</f>
        <v>0</v>
      </c>
      <c r="E89" s="303">
        <f>COUNTIF('自動車台帳'!BI$5:BI$304,(RIGHT(LEFT($D$25,4),2)&amp;"5小"))</f>
        <v>0</v>
      </c>
    </row>
    <row r="90" spans="1:5" ht="24.75" customHeight="1" hidden="1">
      <c r="A90" s="416"/>
      <c r="B90" s="411" t="s">
        <v>42</v>
      </c>
      <c r="C90" s="304" t="s">
        <v>8</v>
      </c>
      <c r="D90" s="303">
        <f>COUNTIF('自動車台帳'!BH$5:BH$304,(RIGHT(LEFT($D$25,4),2)&amp;"6小"))</f>
        <v>0</v>
      </c>
      <c r="E90" s="303">
        <f>COUNTIF('自動車台帳'!BI$5:BI$304,(RIGHT(LEFT($D$25,4),2)&amp;"6小"))</f>
        <v>0</v>
      </c>
    </row>
    <row r="91" spans="1:5" ht="24.75" customHeight="1" hidden="1">
      <c r="A91" s="416"/>
      <c r="B91" s="414"/>
      <c r="C91" s="304" t="s">
        <v>9</v>
      </c>
      <c r="D91" s="303">
        <f>COUNTIF('自動車台帳'!BH$5:BH$304,(RIGHT(LEFT($D$25,4),2)&amp;"7小"))</f>
        <v>0</v>
      </c>
      <c r="E91" s="303">
        <f>COUNTIF('自動車台帳'!BI$5:BI$304,(RIGHT(LEFT($D$25,4),2)&amp;"7小"))</f>
        <v>0</v>
      </c>
    </row>
    <row r="92" spans="1:5" ht="24.75" customHeight="1" hidden="1">
      <c r="A92" s="416"/>
      <c r="B92" s="414"/>
      <c r="C92" s="304" t="s">
        <v>10</v>
      </c>
      <c r="D92" s="303">
        <f>COUNTIF('自動車台帳'!BH$5:BH$304,(RIGHT(LEFT($D$25,4),2)&amp;"8小"))</f>
        <v>0</v>
      </c>
      <c r="E92" s="303">
        <f>COUNTIF('自動車台帳'!BI$5:BI$304,(RIGHT(LEFT($D$25,4),2)&amp;"8小"))</f>
        <v>0</v>
      </c>
    </row>
    <row r="93" spans="1:5" ht="24.75" customHeight="1" hidden="1">
      <c r="A93" s="416"/>
      <c r="B93" s="414"/>
      <c r="C93" s="304" t="s">
        <v>11</v>
      </c>
      <c r="D93" s="303">
        <f>COUNTIF('自動車台帳'!BH$5:BH$304,(RIGHT(LEFT($D$25,4),2)&amp;"9小"))</f>
        <v>0</v>
      </c>
      <c r="E93" s="303">
        <f>COUNTIF('自動車台帳'!BI$5:BI$304,(RIGHT(LEFT($D$25,4),2)&amp;"9小"))</f>
        <v>0</v>
      </c>
    </row>
    <row r="94" spans="1:5" ht="24.75" customHeight="1" hidden="1">
      <c r="A94" s="416"/>
      <c r="B94" s="414"/>
      <c r="C94" s="304" t="s">
        <v>184</v>
      </c>
      <c r="D94" s="303">
        <f>COUNTIF('自動車台帳'!BH$5:BH$304,(RIGHT(LEFT($D$25,4),2)&amp;"10小"))</f>
        <v>0</v>
      </c>
      <c r="E94" s="303">
        <f>COUNTIF('自動車台帳'!BI$5:BI$304,(RIGHT(LEFT($D$25,4),2)&amp;"10小"))</f>
        <v>0</v>
      </c>
    </row>
    <row r="95" spans="1:5" ht="24.75" customHeight="1" hidden="1">
      <c r="A95" s="416"/>
      <c r="B95" s="412"/>
      <c r="C95" s="304" t="s">
        <v>12</v>
      </c>
      <c r="D95" s="303">
        <f>COUNTIF('自動車台帳'!BH$5:BH$304,(RIGHT(LEFT($D$25,4),2)&amp;"11小"))</f>
        <v>0</v>
      </c>
      <c r="E95" s="303">
        <f>COUNTIF('自動車台帳'!BI$5:BI$304,(RIGHT(LEFT($D$25,4),2)&amp;"11小"))</f>
        <v>0</v>
      </c>
    </row>
    <row r="96" spans="1:5" ht="24.75" customHeight="1" hidden="1">
      <c r="A96" s="416"/>
      <c r="B96" s="411" t="s">
        <v>128</v>
      </c>
      <c r="C96" s="302" t="s">
        <v>108</v>
      </c>
      <c r="D96" s="303">
        <f>COUNTIF('自動車台帳'!BH$5:BH$304,(RIGHT(LEFT($D$25,4),2)&amp;"12小"))</f>
        <v>0</v>
      </c>
      <c r="E96" s="303">
        <f>COUNTIF('自動車台帳'!BI$5:BI$304,(RIGHT(LEFT($D$25,4),2)&amp;"12小"))</f>
        <v>0</v>
      </c>
    </row>
    <row r="97" spans="1:5" ht="24.75" customHeight="1" hidden="1">
      <c r="A97" s="416"/>
      <c r="B97" s="412"/>
      <c r="C97" s="302" t="s">
        <v>176</v>
      </c>
      <c r="D97" s="303">
        <f>COUNTIF('自動車台帳'!BH$5:BH$304,(RIGHT(LEFT($D$25,4),2)&amp;"13小"))</f>
        <v>0</v>
      </c>
      <c r="E97" s="303">
        <f>COUNTIF('自動車台帳'!BI$5:BI$304,(RIGHT(LEFT($D$25,4),2)&amp;"13小"))</f>
        <v>0</v>
      </c>
    </row>
    <row r="98" spans="1:5" ht="24.75" customHeight="1" hidden="1" thickBot="1">
      <c r="A98" s="417"/>
      <c r="B98" s="319"/>
      <c r="C98" s="317" t="s">
        <v>230</v>
      </c>
      <c r="D98" s="318">
        <f>SUM(D85:D97)</f>
        <v>0</v>
      </c>
      <c r="E98" s="318">
        <f>SUM(E85:E97)</f>
        <v>0</v>
      </c>
    </row>
    <row r="99" spans="1:5" ht="24.75" customHeight="1" hidden="1">
      <c r="A99" s="415" t="s">
        <v>28</v>
      </c>
      <c r="B99" s="413" t="s">
        <v>196</v>
      </c>
      <c r="C99" s="313" t="s">
        <v>187</v>
      </c>
      <c r="D99" s="314">
        <f>COUNTIF('自動車台帳'!BH$5:BH$304,(RIGHT(LEFT($D$25,4),2)&amp;"1バ"))</f>
        <v>0</v>
      </c>
      <c r="E99" s="314">
        <f>COUNTIF('自動車台帳'!BI$5:BI$304,(RIGHT(LEFT($D$25,4),2)&amp;"1バ"))</f>
        <v>0</v>
      </c>
    </row>
    <row r="100" spans="1:5" ht="24.75" customHeight="1" hidden="1">
      <c r="A100" s="416"/>
      <c r="B100" s="414"/>
      <c r="C100" s="302" t="s">
        <v>48</v>
      </c>
      <c r="D100" s="303">
        <f>COUNTIF('自動車台帳'!BH$5:BH$304,(RIGHT(LEFT($D$25,4),2)&amp;"2バ"))</f>
        <v>0</v>
      </c>
      <c r="E100" s="303">
        <f>COUNTIF('自動車台帳'!BI$5:BI$304,(RIGHT(LEFT($D$25,4),2)&amp;"2バ"))</f>
        <v>0</v>
      </c>
    </row>
    <row r="101" spans="1:5" ht="24.75" customHeight="1" hidden="1">
      <c r="A101" s="416"/>
      <c r="B101" s="414"/>
      <c r="C101" s="302" t="s">
        <v>27</v>
      </c>
      <c r="D101" s="303">
        <f>COUNTIF('自動車台帳'!BH$5:BH$304,(RIGHT(LEFT($D$25,4),2)&amp;"3バ"))</f>
        <v>0</v>
      </c>
      <c r="E101" s="303">
        <f>COUNTIF('自動車台帳'!BI$5:BI$304,(RIGHT(LEFT($D$25,4),2)&amp;"3バ"))</f>
        <v>0</v>
      </c>
    </row>
    <row r="102" spans="1:5" ht="24.75" customHeight="1" hidden="1">
      <c r="A102" s="416"/>
      <c r="B102" s="414"/>
      <c r="C102" s="302" t="s">
        <v>186</v>
      </c>
      <c r="D102" s="303">
        <f>COUNTIF('自動車台帳'!BH$5:BH$304,(RIGHT(LEFT($D$25,4),2)&amp;"4バ"))</f>
        <v>0</v>
      </c>
      <c r="E102" s="303">
        <f>COUNTIF('自動車台帳'!BI$5:BI$304,(RIGHT(LEFT($D$25,4),2)&amp;"4バ"))</f>
        <v>0</v>
      </c>
    </row>
    <row r="103" spans="1:5" ht="24.75" customHeight="1" hidden="1">
      <c r="A103" s="416"/>
      <c r="B103" s="412"/>
      <c r="C103" s="302" t="s">
        <v>193</v>
      </c>
      <c r="D103" s="303">
        <f>COUNTIF('自動車台帳'!BH$5:BH$304,(RIGHT(LEFT($D$25,4),2)&amp;"5バ"))</f>
        <v>0</v>
      </c>
      <c r="E103" s="303">
        <f>COUNTIF('自動車台帳'!BI$5:BI$304,(RIGHT(LEFT($D$25,4),2)&amp;"5バ"))</f>
        <v>0</v>
      </c>
    </row>
    <row r="104" spans="1:5" ht="24.75" customHeight="1" hidden="1">
      <c r="A104" s="416"/>
      <c r="B104" s="411" t="s">
        <v>42</v>
      </c>
      <c r="C104" s="304" t="s">
        <v>8</v>
      </c>
      <c r="D104" s="303">
        <f>COUNTIF('自動車台帳'!BH$5:BH$304,(RIGHT(LEFT($D$25,4),2)&amp;"6バ"))</f>
        <v>0</v>
      </c>
      <c r="E104" s="303">
        <f>COUNTIF('自動車台帳'!BI$5:BI$304,(RIGHT(LEFT($D$25,4),2)&amp;"6バ"))</f>
        <v>0</v>
      </c>
    </row>
    <row r="105" spans="1:5" ht="24.75" customHeight="1" hidden="1">
      <c r="A105" s="416"/>
      <c r="B105" s="414"/>
      <c r="C105" s="304" t="s">
        <v>9</v>
      </c>
      <c r="D105" s="303">
        <f>COUNTIF('自動車台帳'!BH$5:BH$304,(RIGHT(LEFT($D$25,4),2)&amp;"7バ"))</f>
        <v>0</v>
      </c>
      <c r="E105" s="303">
        <f>COUNTIF('自動車台帳'!BI$5:BI$304,(RIGHT(LEFT($D$25,4),2)&amp;"7バ"))</f>
        <v>0</v>
      </c>
    </row>
    <row r="106" spans="1:5" ht="24.75" customHeight="1" hidden="1">
      <c r="A106" s="416"/>
      <c r="B106" s="414"/>
      <c r="C106" s="304" t="s">
        <v>10</v>
      </c>
      <c r="D106" s="303">
        <f>COUNTIF('自動車台帳'!BH$5:BH$304,(RIGHT(LEFT($D$25,4),2)&amp;"8バ"))</f>
        <v>0</v>
      </c>
      <c r="E106" s="303">
        <f>COUNTIF('自動車台帳'!BI$5:BI$304,(RIGHT(LEFT($D$25,4),2)&amp;"8バ"))</f>
        <v>0</v>
      </c>
    </row>
    <row r="107" spans="1:5" ht="24.75" customHeight="1" hidden="1">
      <c r="A107" s="416"/>
      <c r="B107" s="414"/>
      <c r="C107" s="304" t="s">
        <v>11</v>
      </c>
      <c r="D107" s="303">
        <f>COUNTIF('自動車台帳'!BH$5:BH$304,(RIGHT(LEFT($D$25,4),2)&amp;"9バ"))</f>
        <v>0</v>
      </c>
      <c r="E107" s="303">
        <f>COUNTIF('自動車台帳'!BI$5:BI$304,(RIGHT(LEFT($D$25,4),2)&amp;"9バ"))</f>
        <v>0</v>
      </c>
    </row>
    <row r="108" spans="1:5" ht="24.75" customHeight="1" hidden="1">
      <c r="A108" s="416"/>
      <c r="B108" s="414"/>
      <c r="C108" s="304" t="s">
        <v>184</v>
      </c>
      <c r="D108" s="303">
        <f>COUNTIF('自動車台帳'!BH$5:BH$304,(RIGHT(LEFT($D$25,4),2)&amp;"10バ"))</f>
        <v>0</v>
      </c>
      <c r="E108" s="303">
        <f>COUNTIF('自動車台帳'!BI$5:BI$304,(RIGHT(LEFT($D$25,4),2)&amp;"10バ"))</f>
        <v>0</v>
      </c>
    </row>
    <row r="109" spans="1:5" ht="24.75" customHeight="1" hidden="1">
      <c r="A109" s="416"/>
      <c r="B109" s="412"/>
      <c r="C109" s="304" t="s">
        <v>12</v>
      </c>
      <c r="D109" s="303">
        <f>COUNTIF('自動車台帳'!BH$5:BH$304,(RIGHT(LEFT($D$25,4),2)&amp;"11バ"))</f>
        <v>0</v>
      </c>
      <c r="E109" s="303">
        <f>COUNTIF('自動車台帳'!BI$5:BI$304,(RIGHT(LEFT($D$25,4),2)&amp;"11バ"))</f>
        <v>0</v>
      </c>
    </row>
    <row r="110" spans="1:5" ht="24.75" customHeight="1" hidden="1">
      <c r="A110" s="416"/>
      <c r="B110" s="411" t="s">
        <v>128</v>
      </c>
      <c r="C110" s="302" t="s">
        <v>108</v>
      </c>
      <c r="D110" s="303">
        <f>COUNTIF('自動車台帳'!BH$5:BH$304,(RIGHT(LEFT($D$25,4),2)&amp;"12バ"))</f>
        <v>0</v>
      </c>
      <c r="E110" s="303">
        <f>COUNTIF('自動車台帳'!BI$5:BI$304,(RIGHT(LEFT($D$25,4),2)&amp;"12バ"))</f>
        <v>0</v>
      </c>
    </row>
    <row r="111" spans="1:5" ht="24.75" customHeight="1" hidden="1">
      <c r="A111" s="416"/>
      <c r="B111" s="412"/>
      <c r="C111" s="302" t="s">
        <v>176</v>
      </c>
      <c r="D111" s="303">
        <f>COUNTIF('自動車台帳'!BH$5:BH$304,(RIGHT(LEFT($D$25,4),2)&amp;"13バ"))</f>
        <v>0</v>
      </c>
      <c r="E111" s="303">
        <f>COUNTIF('自動車台帳'!BI$5:BI$304,(RIGHT(LEFT($D$25,4),2)&amp;"13バ"))</f>
        <v>0</v>
      </c>
    </row>
    <row r="112" spans="1:5" ht="24.75" customHeight="1" hidden="1" thickBot="1">
      <c r="A112" s="416"/>
      <c r="B112" s="320"/>
      <c r="C112" s="321" t="s">
        <v>230</v>
      </c>
      <c r="D112" s="318">
        <f>SUM(D99:D111)</f>
        <v>0</v>
      </c>
      <c r="E112" s="318">
        <f>SUM(E99:E111)</f>
        <v>0</v>
      </c>
    </row>
    <row r="113" spans="1:5" ht="15" customHeight="1" hidden="1">
      <c r="A113" s="322"/>
      <c r="B113" s="322"/>
      <c r="C113" s="323"/>
      <c r="D113" s="324"/>
      <c r="E113" s="324"/>
    </row>
    <row r="114" spans="1:5" ht="15" customHeight="1">
      <c r="A114" s="312"/>
      <c r="B114" s="312"/>
      <c r="C114" s="312"/>
      <c r="D114" s="312"/>
      <c r="E114" s="312"/>
    </row>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sheetData>
  <sheetProtection password="C47C" sheet="1" objects="1" scenarios="1"/>
  <mergeCells count="36">
    <mergeCell ref="D27:D28"/>
    <mergeCell ref="E27:E28"/>
    <mergeCell ref="D3:E4"/>
    <mergeCell ref="D5:D6"/>
    <mergeCell ref="E5:E6"/>
    <mergeCell ref="D25:E26"/>
    <mergeCell ref="A57:A70"/>
    <mergeCell ref="A71:A84"/>
    <mergeCell ref="A25:C28"/>
    <mergeCell ref="B40:B41"/>
    <mergeCell ref="B43:B47"/>
    <mergeCell ref="A29:A42"/>
    <mergeCell ref="A43:A56"/>
    <mergeCell ref="B82:B83"/>
    <mergeCell ref="A99:A112"/>
    <mergeCell ref="B85:B89"/>
    <mergeCell ref="B90:B95"/>
    <mergeCell ref="B96:B97"/>
    <mergeCell ref="B99:B103"/>
    <mergeCell ref="B104:B109"/>
    <mergeCell ref="B110:B111"/>
    <mergeCell ref="A85:A98"/>
    <mergeCell ref="A3:C6"/>
    <mergeCell ref="B68:B69"/>
    <mergeCell ref="B71:B75"/>
    <mergeCell ref="B76:B81"/>
    <mergeCell ref="B48:B53"/>
    <mergeCell ref="B54:B55"/>
    <mergeCell ref="B57:B61"/>
    <mergeCell ref="B62:B67"/>
    <mergeCell ref="B29:B33"/>
    <mergeCell ref="B34:B39"/>
    <mergeCell ref="A7:A20"/>
    <mergeCell ref="B7:B11"/>
    <mergeCell ref="B12:B17"/>
    <mergeCell ref="B18:B19"/>
  </mergeCells>
  <printOptions/>
  <pageMargins left="1.21" right="0.7874015748031497" top="0.7874015748031497" bottom="0.7874015748031497" header="0.5118110236220472" footer="0.5118110236220472"/>
  <pageSetup horizontalDpi="300" verticalDpi="300" orientation="portrait" pageOrder="overThenDown" paperSize="9" r:id="rId1"/>
  <headerFooter alignWithMargins="0">
    <oddHeader>&amp;R様式６</oddHeader>
  </headerFooter>
  <rowBreaks count="1" manualBreakCount="1">
    <brk id="23" max="255" man="1"/>
  </rowBreaks>
</worksheet>
</file>

<file path=xl/worksheets/sheet8.xml><?xml version="1.0" encoding="utf-8"?>
<worksheet xmlns="http://schemas.openxmlformats.org/spreadsheetml/2006/main" xmlns:r="http://schemas.openxmlformats.org/officeDocument/2006/relationships">
  <dimension ref="A1:W40"/>
  <sheetViews>
    <sheetView workbookViewId="0" topLeftCell="A13">
      <selection activeCell="J20" sqref="J20"/>
    </sheetView>
  </sheetViews>
  <sheetFormatPr defaultColWidth="9.00390625" defaultRowHeight="13.5" customHeight="1"/>
  <cols>
    <col min="1" max="1" width="6.625" style="12" customWidth="1"/>
    <col min="2" max="2" width="8.50390625" style="12" customWidth="1"/>
    <col min="3" max="3" width="4.75390625" style="12" customWidth="1"/>
    <col min="4" max="11" width="8.375" style="12" customWidth="1"/>
    <col min="12" max="13" width="7.25390625" style="12" customWidth="1"/>
    <col min="14" max="14" width="7.50390625" style="12" customWidth="1"/>
    <col min="15" max="15" width="8.75390625" style="12" customWidth="1"/>
    <col min="16" max="16384" width="6.25390625" style="12" customWidth="1"/>
  </cols>
  <sheetData>
    <row r="1" ht="13.5" customHeight="1">
      <c r="A1" s="12" t="str">
        <f>"６．車両走行量の削減の状況（"&amp;LOOKUP('自動車台帳'!$F$1,実績報告年度,'自動車台帳'!$M$336:$M$339)&amp;"）"</f>
        <v>６．車両走行量の削減の状況（平成14年度）</v>
      </c>
    </row>
    <row r="2" spans="1:11" ht="12" customHeight="1">
      <c r="A2" s="438" t="s">
        <v>322</v>
      </c>
      <c r="B2" s="439"/>
      <c r="C2" s="440"/>
      <c r="D2" s="444" t="s">
        <v>278</v>
      </c>
      <c r="E2" s="445"/>
      <c r="F2" s="445"/>
      <c r="G2" s="445"/>
      <c r="H2" s="445"/>
      <c r="I2" s="445"/>
      <c r="J2" s="445"/>
      <c r="K2" s="446"/>
    </row>
    <row r="3" spans="1:11" ht="12" customHeight="1">
      <c r="A3" s="436"/>
      <c r="B3" s="441"/>
      <c r="C3" s="437"/>
      <c r="D3" s="443" t="s">
        <v>318</v>
      </c>
      <c r="E3" s="443"/>
      <c r="F3" s="443"/>
      <c r="G3" s="443"/>
      <c r="H3" s="443" t="s">
        <v>323</v>
      </c>
      <c r="I3" s="443"/>
      <c r="J3" s="443"/>
      <c r="K3" s="443"/>
    </row>
    <row r="4" spans="1:11" ht="43.5" customHeight="1">
      <c r="A4" s="447" t="s">
        <v>245</v>
      </c>
      <c r="B4" s="448"/>
      <c r="C4" s="449"/>
      <c r="D4" s="450"/>
      <c r="E4" s="450"/>
      <c r="F4" s="450"/>
      <c r="G4" s="450"/>
      <c r="H4" s="442"/>
      <c r="I4" s="442"/>
      <c r="J4" s="442"/>
      <c r="K4" s="442"/>
    </row>
    <row r="5" spans="1:11" ht="43.5" customHeight="1">
      <c r="A5" s="447" t="s">
        <v>246</v>
      </c>
      <c r="B5" s="448"/>
      <c r="C5" s="449"/>
      <c r="D5" s="450"/>
      <c r="E5" s="450"/>
      <c r="F5" s="450"/>
      <c r="G5" s="450"/>
      <c r="H5" s="442"/>
      <c r="I5" s="442"/>
      <c r="J5" s="442"/>
      <c r="K5" s="442"/>
    </row>
    <row r="6" spans="1:11" ht="43.5" customHeight="1">
      <c r="A6" s="447" t="s">
        <v>247</v>
      </c>
      <c r="B6" s="448"/>
      <c r="C6" s="449"/>
      <c r="D6" s="450"/>
      <c r="E6" s="450"/>
      <c r="F6" s="450"/>
      <c r="G6" s="450"/>
      <c r="H6" s="442"/>
      <c r="I6" s="442"/>
      <c r="J6" s="442"/>
      <c r="K6" s="442"/>
    </row>
    <row r="7" spans="1:11" ht="43.5" customHeight="1">
      <c r="A7" s="447" t="s">
        <v>248</v>
      </c>
      <c r="B7" s="448"/>
      <c r="C7" s="449"/>
      <c r="D7" s="450"/>
      <c r="E7" s="450"/>
      <c r="F7" s="450"/>
      <c r="G7" s="450"/>
      <c r="H7" s="442"/>
      <c r="I7" s="442"/>
      <c r="J7" s="442"/>
      <c r="K7" s="442"/>
    </row>
    <row r="8" spans="1:11" ht="43.5" customHeight="1">
      <c r="A8" s="447" t="s">
        <v>249</v>
      </c>
      <c r="B8" s="448"/>
      <c r="C8" s="449"/>
      <c r="D8" s="450"/>
      <c r="E8" s="450"/>
      <c r="F8" s="450"/>
      <c r="G8" s="450"/>
      <c r="H8" s="442"/>
      <c r="I8" s="442"/>
      <c r="J8" s="442"/>
      <c r="K8" s="442"/>
    </row>
    <row r="9" spans="1:11" ht="43.5" customHeight="1">
      <c r="A9" s="447" t="s">
        <v>250</v>
      </c>
      <c r="B9" s="448"/>
      <c r="C9" s="449"/>
      <c r="D9" s="450"/>
      <c r="E9" s="450"/>
      <c r="F9" s="450"/>
      <c r="G9" s="450"/>
      <c r="H9" s="442"/>
      <c r="I9" s="442"/>
      <c r="J9" s="442"/>
      <c r="K9" s="442"/>
    </row>
    <row r="10" spans="1:11" ht="43.5" customHeight="1">
      <c r="A10" s="447" t="s">
        <v>251</v>
      </c>
      <c r="B10" s="448"/>
      <c r="C10" s="449"/>
      <c r="D10" s="450"/>
      <c r="E10" s="450"/>
      <c r="F10" s="450"/>
      <c r="G10" s="450"/>
      <c r="H10" s="442"/>
      <c r="I10" s="442"/>
      <c r="J10" s="442"/>
      <c r="K10" s="442"/>
    </row>
    <row r="11" spans="1:11" ht="43.5" customHeight="1">
      <c r="A11" s="447" t="s">
        <v>252</v>
      </c>
      <c r="B11" s="448"/>
      <c r="C11" s="449"/>
      <c r="D11" s="450"/>
      <c r="E11" s="450"/>
      <c r="F11" s="450"/>
      <c r="G11" s="450"/>
      <c r="H11" s="442"/>
      <c r="I11" s="442"/>
      <c r="J11" s="442"/>
      <c r="K11" s="442"/>
    </row>
    <row r="12" spans="1:11" ht="43.5" customHeight="1">
      <c r="A12" s="447" t="s">
        <v>253</v>
      </c>
      <c r="B12" s="448"/>
      <c r="C12" s="449"/>
      <c r="D12" s="450"/>
      <c r="E12" s="450"/>
      <c r="F12" s="450"/>
      <c r="G12" s="450"/>
      <c r="H12" s="442"/>
      <c r="I12" s="442"/>
      <c r="J12" s="442"/>
      <c r="K12" s="442"/>
    </row>
    <row r="13" spans="1:11" ht="43.5" customHeight="1">
      <c r="A13" s="447" t="s">
        <v>254</v>
      </c>
      <c r="B13" s="448"/>
      <c r="C13" s="449"/>
      <c r="D13" s="450"/>
      <c r="E13" s="450"/>
      <c r="F13" s="450"/>
      <c r="G13" s="450"/>
      <c r="H13" s="442"/>
      <c r="I13" s="442"/>
      <c r="J13" s="442"/>
      <c r="K13" s="442"/>
    </row>
    <row r="14" spans="1:11" ht="43.5" customHeight="1">
      <c r="A14" s="447" t="s">
        <v>255</v>
      </c>
      <c r="B14" s="448"/>
      <c r="C14" s="449"/>
      <c r="D14" s="450"/>
      <c r="E14" s="450"/>
      <c r="F14" s="450"/>
      <c r="G14" s="450"/>
      <c r="H14" s="442"/>
      <c r="I14" s="442"/>
      <c r="J14" s="442"/>
      <c r="K14" s="442"/>
    </row>
    <row r="15" spans="1:11" ht="43.5" customHeight="1">
      <c r="A15" s="447" t="s">
        <v>281</v>
      </c>
      <c r="B15" s="448"/>
      <c r="C15" s="449"/>
      <c r="D15" s="450"/>
      <c r="E15" s="450"/>
      <c r="F15" s="450"/>
      <c r="G15" s="450"/>
      <c r="H15" s="442"/>
      <c r="I15" s="442"/>
      <c r="J15" s="442"/>
      <c r="K15" s="442"/>
    </row>
    <row r="16" spans="1:11" ht="43.5" customHeight="1">
      <c r="A16" s="447" t="s">
        <v>222</v>
      </c>
      <c r="B16" s="448"/>
      <c r="C16" s="449"/>
      <c r="D16" s="450"/>
      <c r="E16" s="450"/>
      <c r="F16" s="450"/>
      <c r="G16" s="450"/>
      <c r="H16" s="442"/>
      <c r="I16" s="442"/>
      <c r="J16" s="442"/>
      <c r="K16" s="442"/>
    </row>
    <row r="17" ht="7.5" customHeight="1"/>
    <row r="18" spans="1:14" ht="13.5" customHeight="1">
      <c r="A18" s="484"/>
      <c r="B18" s="485"/>
      <c r="C18" s="486"/>
      <c r="D18" s="463" t="s">
        <v>45</v>
      </c>
      <c r="E18" s="463"/>
      <c r="F18" s="463" t="s">
        <v>46</v>
      </c>
      <c r="G18" s="463"/>
      <c r="H18" s="463" t="s">
        <v>235</v>
      </c>
      <c r="I18" s="463"/>
      <c r="J18" s="461" t="s">
        <v>230</v>
      </c>
      <c r="K18" s="480"/>
      <c r="N18" s="15"/>
    </row>
    <row r="19" spans="1:14" ht="13.5" customHeight="1">
      <c r="A19" s="137" t="s">
        <v>316</v>
      </c>
      <c r="B19" s="138"/>
      <c r="C19" s="139"/>
      <c r="D19" s="464"/>
      <c r="E19" s="465"/>
      <c r="F19" s="464"/>
      <c r="G19" s="465"/>
      <c r="H19" s="464"/>
      <c r="I19" s="465"/>
      <c r="J19" s="464"/>
      <c r="K19" s="487"/>
      <c r="N19" s="15"/>
    </row>
    <row r="20" spans="1:14" ht="13.5" customHeight="1">
      <c r="A20" s="137" t="s">
        <v>317</v>
      </c>
      <c r="B20" s="138"/>
      <c r="C20" s="139"/>
      <c r="D20" s="325"/>
      <c r="E20" s="134" t="s">
        <v>205</v>
      </c>
      <c r="F20" s="325"/>
      <c r="G20" s="134" t="s">
        <v>205</v>
      </c>
      <c r="H20" s="325"/>
      <c r="I20" s="134" t="s">
        <v>205</v>
      </c>
      <c r="J20" s="336"/>
      <c r="K20" s="134" t="s">
        <v>205</v>
      </c>
      <c r="N20" s="17"/>
    </row>
    <row r="21" spans="1:14" ht="13.5" customHeight="1">
      <c r="A21" s="137" t="str">
        <f>"換算走行量（"&amp;LOOKUP('自動車台帳'!$F$1,実績報告年度,'自動車台帳'!$M$336:$M$339)&amp;"）"</f>
        <v>換算走行量（平成14年度）</v>
      </c>
      <c r="B21" s="138"/>
      <c r="C21" s="139"/>
      <c r="D21" s="456">
        <f>IF(D27="","",SUMIF('自動車台帳'!$AR$5:$AR$304,"=乗",'自動車台帳'!$AD$5:$AD$304)*0.1)</f>
        <v>0</v>
      </c>
      <c r="E21" s="457"/>
      <c r="F21" s="456">
        <f>IF(F27="","",SUMIF('自動車台帳'!$AR$5:$AR$304,"=貨",'自動車台帳'!$AD$5:$AD$304)+SUMIF('自動車台帳'!$AR$5:$AR$304,"=小",'自動車台帳'!$AD$5:$AD$304))</f>
        <v>0</v>
      </c>
      <c r="G21" s="457"/>
      <c r="H21" s="456">
        <f>IF(H27="","",SUMIF('自動車台帳'!$AR$5:$AR$304,"=バ",'自動車台帳'!$AD$5:$AD$304)*2)</f>
        <v>0</v>
      </c>
      <c r="I21" s="457"/>
      <c r="J21" s="488">
        <f>D21+F21+H21</f>
        <v>0</v>
      </c>
      <c r="K21" s="457"/>
      <c r="N21" s="15"/>
    </row>
    <row r="22" spans="1:14" ht="13.5" customHeight="1">
      <c r="A22" s="137" t="str">
        <f>"走行量削減率（"&amp;LOOKUP('自動車台帳'!$F$1,実績報告年度,'自動車台帳'!$M$336:$M$339)&amp;"）"</f>
        <v>走行量削減率（平成14年度）</v>
      </c>
      <c r="B22" s="138"/>
      <c r="C22" s="139"/>
      <c r="D22" s="326" t="str">
        <f>IF(D19=0,"-",(D19-D21)/D19*100)</f>
        <v>-</v>
      </c>
      <c r="E22" s="133" t="s">
        <v>205</v>
      </c>
      <c r="F22" s="326" t="str">
        <f>IF(F19=0,"-",(F19-F21)/F19*100)</f>
        <v>-</v>
      </c>
      <c r="G22" s="133" t="s">
        <v>205</v>
      </c>
      <c r="H22" s="326" t="str">
        <f>IF(H19=0,"-",(H19-H21)/H19*100)</f>
        <v>-</v>
      </c>
      <c r="I22" s="101" t="s">
        <v>205</v>
      </c>
      <c r="J22" s="326" t="e">
        <f>(J19-J21)/J19*100</f>
        <v>#DIV/0!</v>
      </c>
      <c r="K22" s="101" t="s">
        <v>205</v>
      </c>
      <c r="N22" s="17"/>
    </row>
    <row r="23" spans="1:14" ht="7.5" customHeight="1">
      <c r="A23" s="14"/>
      <c r="B23" s="14"/>
      <c r="C23" s="14"/>
      <c r="D23" s="19"/>
      <c r="E23" s="104"/>
      <c r="F23" s="19"/>
      <c r="G23" s="104"/>
      <c r="H23" s="19"/>
      <c r="I23" s="103"/>
      <c r="J23" s="16"/>
      <c r="N23" s="17"/>
    </row>
    <row r="24" spans="1:14" ht="13.5" customHeight="1">
      <c r="A24" s="484"/>
      <c r="B24" s="485"/>
      <c r="C24" s="486"/>
      <c r="D24" s="463" t="s">
        <v>45</v>
      </c>
      <c r="E24" s="463"/>
      <c r="F24" s="463" t="s">
        <v>46</v>
      </c>
      <c r="G24" s="463"/>
      <c r="H24" s="463" t="s">
        <v>168</v>
      </c>
      <c r="I24" s="463"/>
      <c r="J24" s="461" t="s">
        <v>230</v>
      </c>
      <c r="K24" s="462"/>
      <c r="N24" s="15"/>
    </row>
    <row r="25" spans="1:21" ht="13.5" customHeight="1">
      <c r="A25" s="136" t="s">
        <v>315</v>
      </c>
      <c r="B25" s="105"/>
      <c r="C25" s="18"/>
      <c r="D25" s="454"/>
      <c r="E25" s="455"/>
      <c r="F25" s="454"/>
      <c r="G25" s="455"/>
      <c r="H25" s="454"/>
      <c r="I25" s="455"/>
      <c r="J25" s="454"/>
      <c r="K25" s="455"/>
      <c r="L25" s="17"/>
      <c r="M25" s="17"/>
      <c r="N25" s="17"/>
      <c r="P25" s="19"/>
      <c r="Q25" s="19"/>
      <c r="R25" s="19"/>
      <c r="S25" s="19"/>
      <c r="T25" s="14"/>
      <c r="U25" s="14"/>
    </row>
    <row r="26" spans="1:21" ht="13.5" customHeight="1">
      <c r="A26" s="136" t="s">
        <v>314</v>
      </c>
      <c r="B26" s="105"/>
      <c r="C26" s="18"/>
      <c r="D26" s="454"/>
      <c r="E26" s="455"/>
      <c r="F26" s="454"/>
      <c r="G26" s="455"/>
      <c r="H26" s="454"/>
      <c r="I26" s="455"/>
      <c r="J26" s="454"/>
      <c r="K26" s="455"/>
      <c r="L26" s="17"/>
      <c r="M26" s="17"/>
      <c r="N26" s="17"/>
      <c r="P26" s="19"/>
      <c r="Q26" s="19"/>
      <c r="R26" s="19"/>
      <c r="S26" s="19"/>
      <c r="T26" s="14"/>
      <c r="U26" s="14"/>
    </row>
    <row r="27" spans="1:14" ht="13.5" customHeight="1">
      <c r="A27" s="137" t="str">
        <f>"走行量（"&amp;LOOKUP('自動車台帳'!$F$1,実績報告年度,'自動車台帳'!$M$336:$M$339)&amp;"）"</f>
        <v>走行量（平成14年度）</v>
      </c>
      <c r="B27" s="102"/>
      <c r="C27" s="13"/>
      <c r="D27" s="458">
        <f>SUMIF('自動車台帳'!$AR$5:$AR$304,"=乗",'自動車台帳'!$AD$5:$AD$304)</f>
        <v>0</v>
      </c>
      <c r="E27" s="459"/>
      <c r="F27" s="458">
        <f>SUMIF('自動車台帳'!$AR$5:$AR$304,"=貨",'自動車台帳'!$AD$5:$AD$304)+SUMIF('自動車台帳'!$AR$5:$AR$304,"=小",'自動車台帳'!$AD$5:$AD$304)</f>
        <v>0</v>
      </c>
      <c r="G27" s="459"/>
      <c r="H27" s="458">
        <f>SUMIF('自動車台帳'!$AR$5:$AR$304,"=バ",'自動車台帳'!$AD$5:$AD$304)</f>
        <v>0</v>
      </c>
      <c r="I27" s="459"/>
      <c r="J27" s="460">
        <f>D27+F27+H27</f>
        <v>0</v>
      </c>
      <c r="K27" s="459"/>
      <c r="N27" s="17"/>
    </row>
    <row r="28" spans="1:21" ht="13.5" customHeight="1" thickBot="1">
      <c r="A28" s="19"/>
      <c r="B28" s="19"/>
      <c r="C28" s="19"/>
      <c r="D28" s="19"/>
      <c r="E28" s="14"/>
      <c r="F28" s="20"/>
      <c r="G28" s="20"/>
      <c r="H28" s="20"/>
      <c r="I28" s="20"/>
      <c r="J28" s="16"/>
      <c r="K28" s="17"/>
      <c r="L28" s="17"/>
      <c r="M28" s="17"/>
      <c r="N28" s="17"/>
      <c r="P28" s="19"/>
      <c r="Q28" s="19"/>
      <c r="R28" s="19"/>
      <c r="S28" s="19"/>
      <c r="T28" s="14"/>
      <c r="U28" s="14"/>
    </row>
    <row r="29" spans="1:17" ht="27" customHeight="1" thickBot="1">
      <c r="A29" s="451"/>
      <c r="B29" s="466"/>
      <c r="C29" s="467"/>
      <c r="D29" s="451" t="s">
        <v>279</v>
      </c>
      <c r="E29" s="452"/>
      <c r="F29" s="453"/>
      <c r="G29" s="481" t="s">
        <v>280</v>
      </c>
      <c r="H29" s="482"/>
      <c r="I29" s="483"/>
      <c r="J29" s="17"/>
      <c r="K29" s="21"/>
      <c r="L29" s="19"/>
      <c r="N29" s="19"/>
      <c r="O29" s="19"/>
      <c r="P29" s="14"/>
      <c r="Q29" s="14"/>
    </row>
    <row r="30" spans="1:17" ht="13.5" customHeight="1" thickBot="1">
      <c r="A30" s="143" t="s">
        <v>318</v>
      </c>
      <c r="B30" s="141"/>
      <c r="C30" s="142"/>
      <c r="D30" s="474"/>
      <c r="E30" s="475"/>
      <c r="F30" s="476"/>
      <c r="G30" s="477"/>
      <c r="H30" s="478"/>
      <c r="I30" s="479"/>
      <c r="J30" s="135"/>
      <c r="K30" s="14"/>
      <c r="L30" s="19"/>
      <c r="N30" s="19"/>
      <c r="O30" s="19"/>
      <c r="P30" s="14"/>
      <c r="Q30" s="14"/>
    </row>
    <row r="31" spans="1:17" ht="13.5" customHeight="1" thickBot="1">
      <c r="A31" s="143" t="str">
        <f>LOOKUP('自動車台帳'!$F$1,実績報告年度,'自動車台帳'!$M$336:$M$339)</f>
        <v>平成14年度</v>
      </c>
      <c r="B31" s="141"/>
      <c r="C31" s="142"/>
      <c r="D31" s="471" t="e">
        <f>J22*2</f>
        <v>#DIV/0!</v>
      </c>
      <c r="E31" s="472"/>
      <c r="F31" s="473"/>
      <c r="G31" s="468" t="e">
        <f>'様式5'!M16+D31</f>
        <v>#DIV/0!</v>
      </c>
      <c r="H31" s="469"/>
      <c r="I31" s="470"/>
      <c r="J31" s="135"/>
      <c r="K31" s="14"/>
      <c r="L31" s="19"/>
      <c r="N31" s="19"/>
      <c r="O31" s="19"/>
      <c r="P31" s="14"/>
      <c r="Q31" s="14"/>
    </row>
    <row r="32" spans="1:21" ht="13.5" customHeight="1">
      <c r="A32" s="19"/>
      <c r="B32" s="19"/>
      <c r="C32" s="19"/>
      <c r="N32" s="17"/>
      <c r="P32" s="19"/>
      <c r="Q32" s="19"/>
      <c r="R32" s="19"/>
      <c r="S32" s="19"/>
      <c r="T32" s="14"/>
      <c r="U32" s="14"/>
    </row>
    <row r="33" spans="1:23" ht="13.5" customHeight="1">
      <c r="A33" s="19"/>
      <c r="B33" s="19"/>
      <c r="C33" s="19"/>
      <c r="L33" s="17"/>
      <c r="M33" s="17"/>
      <c r="N33" s="17"/>
      <c r="P33" s="112"/>
      <c r="Q33" s="112"/>
      <c r="R33" s="112"/>
      <c r="S33" s="112"/>
      <c r="T33" s="112"/>
      <c r="U33" s="112"/>
      <c r="V33" s="112"/>
      <c r="W33" s="112"/>
    </row>
    <row r="40" spans="1:14" ht="13.5" customHeight="1">
      <c r="A40" s="19"/>
      <c r="B40" s="19"/>
      <c r="C40" s="19"/>
      <c r="D40" s="19"/>
      <c r="E40" s="19"/>
      <c r="F40" s="19"/>
      <c r="G40" s="19"/>
      <c r="H40" s="19"/>
      <c r="I40" s="19"/>
      <c r="J40" s="16"/>
      <c r="K40" s="17"/>
      <c r="L40" s="17"/>
      <c r="M40" s="17"/>
      <c r="N40" s="17"/>
    </row>
  </sheetData>
  <sheetProtection/>
  <mergeCells count="80">
    <mergeCell ref="J18:K18"/>
    <mergeCell ref="G29:I29"/>
    <mergeCell ref="A18:C18"/>
    <mergeCell ref="D27:E27"/>
    <mergeCell ref="D26:E26"/>
    <mergeCell ref="F27:G27"/>
    <mergeCell ref="F26:G26"/>
    <mergeCell ref="J19:K19"/>
    <mergeCell ref="A24:C24"/>
    <mergeCell ref="J21:K21"/>
    <mergeCell ref="A29:C29"/>
    <mergeCell ref="G31:I31"/>
    <mergeCell ref="D31:F31"/>
    <mergeCell ref="H18:I18"/>
    <mergeCell ref="H24:I24"/>
    <mergeCell ref="H19:I19"/>
    <mergeCell ref="D30:F30"/>
    <mergeCell ref="G30:I30"/>
    <mergeCell ref="D24:E24"/>
    <mergeCell ref="D18:E18"/>
    <mergeCell ref="F24:G24"/>
    <mergeCell ref="F18:G18"/>
    <mergeCell ref="D25:E25"/>
    <mergeCell ref="D19:E19"/>
    <mergeCell ref="F19:G19"/>
    <mergeCell ref="D21:E21"/>
    <mergeCell ref="F21:G21"/>
    <mergeCell ref="H27:I27"/>
    <mergeCell ref="J27:K27"/>
    <mergeCell ref="J26:K26"/>
    <mergeCell ref="J24:K24"/>
    <mergeCell ref="H26:I26"/>
    <mergeCell ref="H25:I25"/>
    <mergeCell ref="J25:K25"/>
    <mergeCell ref="H21:I21"/>
    <mergeCell ref="A5:C5"/>
    <mergeCell ref="A6:C6"/>
    <mergeCell ref="A7:C7"/>
    <mergeCell ref="A16:C16"/>
    <mergeCell ref="D8:G8"/>
    <mergeCell ref="D9:G9"/>
    <mergeCell ref="D10:G10"/>
    <mergeCell ref="D11:G11"/>
    <mergeCell ref="D12:G12"/>
    <mergeCell ref="D29:F29"/>
    <mergeCell ref="F25:G25"/>
    <mergeCell ref="A8:C8"/>
    <mergeCell ref="A9:C9"/>
    <mergeCell ref="A10:C10"/>
    <mergeCell ref="A11:C11"/>
    <mergeCell ref="A12:C12"/>
    <mergeCell ref="A13:C13"/>
    <mergeCell ref="A14:C14"/>
    <mergeCell ref="A15:C15"/>
    <mergeCell ref="D4:G4"/>
    <mergeCell ref="D5:G5"/>
    <mergeCell ref="D6:G6"/>
    <mergeCell ref="D7:G7"/>
    <mergeCell ref="D13:G13"/>
    <mergeCell ref="D14:G14"/>
    <mergeCell ref="D15:G15"/>
    <mergeCell ref="D16:G16"/>
    <mergeCell ref="H16:K16"/>
    <mergeCell ref="H15:K15"/>
    <mergeCell ref="H14:K14"/>
    <mergeCell ref="H13:K13"/>
    <mergeCell ref="H12:K12"/>
    <mergeCell ref="H11:K11"/>
    <mergeCell ref="H10:K10"/>
    <mergeCell ref="H9:K9"/>
    <mergeCell ref="A2:C3"/>
    <mergeCell ref="H8:K8"/>
    <mergeCell ref="H3:K3"/>
    <mergeCell ref="D3:G3"/>
    <mergeCell ref="D2:K2"/>
    <mergeCell ref="H4:K4"/>
    <mergeCell ref="H5:K5"/>
    <mergeCell ref="H6:K6"/>
    <mergeCell ref="H7:K7"/>
    <mergeCell ref="A4:C4"/>
  </mergeCells>
  <dataValidations count="1">
    <dataValidation allowBlank="1" showInputMessage="1" showErrorMessage="1" imeMode="halfAlpha" sqref="D40 F40 H40 D28 F28 H28 F23 H23 D23 D6 H6"/>
  </dataValidations>
  <printOptions/>
  <pageMargins left="0.7874015748031497" right="0.7874015748031497" top="0.5905511811023623" bottom="0.5905511811023623" header="0.5118110236220472" footer="0.5118110236220472"/>
  <pageSetup horizontalDpi="300" verticalDpi="300" orientation="portrait" paperSize="9" r:id="rId1"/>
  <headerFooter alignWithMargins="0">
    <oddHeader>&amp;R様式７</oddHeader>
  </headerFooter>
</worksheet>
</file>

<file path=xl/worksheets/sheet9.xml><?xml version="1.0" encoding="utf-8"?>
<worksheet xmlns="http://schemas.openxmlformats.org/spreadsheetml/2006/main" xmlns:r="http://schemas.openxmlformats.org/officeDocument/2006/relationships">
  <dimension ref="A1:X29"/>
  <sheetViews>
    <sheetView workbookViewId="0" topLeftCell="A1">
      <selection activeCell="A8" sqref="A8"/>
    </sheetView>
  </sheetViews>
  <sheetFormatPr defaultColWidth="9.00390625" defaultRowHeight="13.5"/>
  <cols>
    <col min="1" max="1" width="1.37890625" style="112" customWidth="1"/>
    <col min="2" max="2" width="12.375" style="112" customWidth="1"/>
    <col min="3" max="3" width="5.50390625" style="112" customWidth="1"/>
    <col min="4" max="13" width="6.75390625" style="112" customWidth="1"/>
    <col min="14" max="26" width="6.875" style="112" customWidth="1"/>
    <col min="27" max="16384" width="9.00390625" style="112" customWidth="1"/>
  </cols>
  <sheetData>
    <row r="1" spans="1:6" ht="13.5">
      <c r="A1" s="112" t="str">
        <f>"７．排出量（"&amp;LOOKUP('自動車台帳'!$F$1,実績報告年度,'自動車台帳'!$M$336:$M$339)&amp;"）"</f>
        <v>７．排出量（平成14年度）</v>
      </c>
      <c r="D1" s="12"/>
      <c r="F1" s="12"/>
    </row>
    <row r="2" spans="1:11" ht="15" customHeight="1">
      <c r="A2" s="493" t="s">
        <v>241</v>
      </c>
      <c r="B2" s="494"/>
      <c r="C2" s="494"/>
      <c r="D2" s="495"/>
      <c r="E2" s="327" t="s">
        <v>319</v>
      </c>
      <c r="F2" s="329"/>
      <c r="G2" s="330"/>
      <c r="H2" s="331"/>
      <c r="I2" s="497"/>
      <c r="J2" s="498"/>
      <c r="K2" s="332" t="s">
        <v>131</v>
      </c>
    </row>
    <row r="3" spans="1:11" ht="15" customHeight="1">
      <c r="A3" s="496"/>
      <c r="B3" s="494"/>
      <c r="C3" s="494"/>
      <c r="D3" s="495"/>
      <c r="E3" s="327" t="s">
        <v>320</v>
      </c>
      <c r="F3" s="140"/>
      <c r="G3" s="330"/>
      <c r="H3" s="331"/>
      <c r="I3" s="499"/>
      <c r="J3" s="500"/>
      <c r="K3" s="333" t="s">
        <v>188</v>
      </c>
    </row>
    <row r="4" spans="1:11" ht="15" customHeight="1">
      <c r="A4" s="496"/>
      <c r="B4" s="494"/>
      <c r="C4" s="494"/>
      <c r="D4" s="495"/>
      <c r="E4" s="327" t="str">
        <f>"排出量（"&amp;LOOKUP('自動車台帳'!$F$1,実績報告年度,'自動車台帳'!$M$336:$M$339)&amp;"）"</f>
        <v>排出量（平成14年度）</v>
      </c>
      <c r="F4" s="329"/>
      <c r="G4" s="330"/>
      <c r="H4" s="331"/>
      <c r="I4" s="501">
        <f>SUM('自動車台帳'!$AE$5:$AE$304)</f>
        <v>0</v>
      </c>
      <c r="J4" s="502"/>
      <c r="K4" s="333" t="s">
        <v>188</v>
      </c>
    </row>
    <row r="5" spans="1:11" ht="15" customHeight="1">
      <c r="A5" s="493" t="s">
        <v>26</v>
      </c>
      <c r="B5" s="494"/>
      <c r="C5" s="494"/>
      <c r="D5" s="495"/>
      <c r="E5" s="327" t="s">
        <v>319</v>
      </c>
      <c r="F5" s="140"/>
      <c r="G5" s="330"/>
      <c r="H5" s="331"/>
      <c r="I5" s="497"/>
      <c r="J5" s="498"/>
      <c r="K5" s="333" t="s">
        <v>131</v>
      </c>
    </row>
    <row r="6" spans="1:23" ht="15" customHeight="1">
      <c r="A6" s="496"/>
      <c r="B6" s="494"/>
      <c r="C6" s="494"/>
      <c r="D6" s="495"/>
      <c r="E6" s="327" t="s">
        <v>320</v>
      </c>
      <c r="F6" s="140"/>
      <c r="G6" s="330"/>
      <c r="H6" s="331"/>
      <c r="I6" s="499"/>
      <c r="J6" s="500"/>
      <c r="K6" s="333" t="s">
        <v>188</v>
      </c>
      <c r="O6" s="14"/>
      <c r="P6" s="19"/>
      <c r="Q6" s="19"/>
      <c r="R6" s="19"/>
      <c r="S6" s="19"/>
      <c r="T6" s="14"/>
      <c r="U6" s="14"/>
      <c r="V6" s="12"/>
      <c r="W6" s="12"/>
    </row>
    <row r="7" spans="1:24" ht="15" customHeight="1">
      <c r="A7" s="496"/>
      <c r="B7" s="494"/>
      <c r="C7" s="494"/>
      <c r="D7" s="495"/>
      <c r="E7" s="327" t="str">
        <f>"排出量（"&amp;LOOKUP('自動車台帳'!$F$1,実績報告年度,'自動車台帳'!$M$336:$M$339)&amp;"）"</f>
        <v>排出量（平成14年度）</v>
      </c>
      <c r="F7" s="328"/>
      <c r="G7" s="102"/>
      <c r="H7" s="334"/>
      <c r="I7" s="503">
        <f>SUM('自動車台帳'!$AF$5:$AF$304)</f>
        <v>0</v>
      </c>
      <c r="J7" s="504"/>
      <c r="K7" s="333" t="s">
        <v>188</v>
      </c>
      <c r="L7" s="335"/>
      <c r="P7" s="14"/>
      <c r="Q7" s="19"/>
      <c r="R7" s="19"/>
      <c r="S7" s="19"/>
      <c r="T7" s="19"/>
      <c r="U7" s="14"/>
      <c r="V7" s="14"/>
      <c r="W7" s="12"/>
      <c r="X7" s="12"/>
    </row>
    <row r="8" spans="1:21" s="12" customFormat="1" ht="13.5" customHeight="1">
      <c r="A8" s="19"/>
      <c r="B8" s="19"/>
      <c r="C8" s="19"/>
      <c r="D8" s="19"/>
      <c r="E8" s="19"/>
      <c r="F8" s="19"/>
      <c r="G8" s="19"/>
      <c r="H8" s="19"/>
      <c r="I8" s="19"/>
      <c r="J8" s="16"/>
      <c r="K8" s="17"/>
      <c r="L8" s="17"/>
      <c r="M8" s="17"/>
      <c r="N8" s="17"/>
      <c r="O8" s="14"/>
      <c r="P8" s="19"/>
      <c r="Q8" s="19"/>
      <c r="R8" s="19"/>
      <c r="S8" s="19"/>
      <c r="T8" s="14"/>
      <c r="U8" s="14"/>
    </row>
    <row r="9" s="12" customFormat="1" ht="13.5" customHeight="1">
      <c r="A9" s="12" t="str">
        <f>"８．適正運転の実施等の状況（"&amp;LOOKUP('自動車台帳'!$F$1,実績報告年度,'自動車台帳'!$M$336:$M$339)&amp;"）"</f>
        <v>８．適正運転の実施等の状況（平成14年度）</v>
      </c>
    </row>
    <row r="10" spans="1:13" s="12" customFormat="1" ht="18.75" customHeight="1">
      <c r="A10" s="438" t="s">
        <v>322</v>
      </c>
      <c r="B10" s="439"/>
      <c r="C10" s="440"/>
      <c r="D10" s="490" t="s">
        <v>278</v>
      </c>
      <c r="E10" s="491"/>
      <c r="F10" s="491"/>
      <c r="G10" s="491"/>
      <c r="H10" s="491"/>
      <c r="I10" s="491"/>
      <c r="J10" s="491"/>
      <c r="K10" s="491"/>
      <c r="L10" s="491"/>
      <c r="M10" s="365"/>
    </row>
    <row r="11" spans="1:13" s="12" customFormat="1" ht="18.75" customHeight="1">
      <c r="A11" s="436"/>
      <c r="B11" s="441"/>
      <c r="C11" s="437"/>
      <c r="D11" s="492" t="s">
        <v>318</v>
      </c>
      <c r="E11" s="382"/>
      <c r="F11" s="382"/>
      <c r="G11" s="382"/>
      <c r="H11" s="382"/>
      <c r="I11" s="492" t="s">
        <v>323</v>
      </c>
      <c r="J11" s="382"/>
      <c r="K11" s="382"/>
      <c r="L11" s="382"/>
      <c r="M11" s="382"/>
    </row>
    <row r="12" spans="1:13" s="12" customFormat="1" ht="67.5" customHeight="1">
      <c r="A12" s="447" t="s">
        <v>242</v>
      </c>
      <c r="B12" s="489"/>
      <c r="C12" s="449"/>
      <c r="D12" s="450"/>
      <c r="E12" s="450"/>
      <c r="F12" s="450"/>
      <c r="G12" s="450"/>
      <c r="H12" s="450"/>
      <c r="I12" s="442"/>
      <c r="J12" s="442"/>
      <c r="K12" s="442"/>
      <c r="L12" s="442"/>
      <c r="M12" s="442"/>
    </row>
    <row r="13" spans="1:13" s="12" customFormat="1" ht="67.5" customHeight="1">
      <c r="A13" s="447" t="s">
        <v>244</v>
      </c>
      <c r="B13" s="489"/>
      <c r="C13" s="449"/>
      <c r="D13" s="450"/>
      <c r="E13" s="450"/>
      <c r="F13" s="450"/>
      <c r="G13" s="450"/>
      <c r="H13" s="450"/>
      <c r="I13" s="442"/>
      <c r="J13" s="442"/>
      <c r="K13" s="442"/>
      <c r="L13" s="442"/>
      <c r="M13" s="442"/>
    </row>
    <row r="14" spans="1:13" s="12" customFormat="1" ht="67.5" customHeight="1">
      <c r="A14" s="447" t="s">
        <v>243</v>
      </c>
      <c r="B14" s="489"/>
      <c r="C14" s="449"/>
      <c r="D14" s="450"/>
      <c r="E14" s="450"/>
      <c r="F14" s="450"/>
      <c r="G14" s="450"/>
      <c r="H14" s="450"/>
      <c r="I14" s="442"/>
      <c r="J14" s="442"/>
      <c r="K14" s="442"/>
      <c r="L14" s="442"/>
      <c r="M14" s="442"/>
    </row>
    <row r="15" spans="1:13" s="12" customFormat="1" ht="67.5" customHeight="1">
      <c r="A15" s="447" t="s">
        <v>222</v>
      </c>
      <c r="B15" s="489"/>
      <c r="C15" s="449"/>
      <c r="D15" s="450"/>
      <c r="E15" s="450"/>
      <c r="F15" s="450"/>
      <c r="G15" s="450"/>
      <c r="H15" s="450"/>
      <c r="I15" s="442"/>
      <c r="J15" s="442"/>
      <c r="K15" s="442"/>
      <c r="L15" s="442"/>
      <c r="M15" s="442"/>
    </row>
    <row r="16" spans="1:13" s="12" customFormat="1" ht="67.5" customHeight="1">
      <c r="A16" s="447" t="s">
        <v>222</v>
      </c>
      <c r="B16" s="489"/>
      <c r="C16" s="449"/>
      <c r="D16" s="450"/>
      <c r="E16" s="450"/>
      <c r="F16" s="450"/>
      <c r="G16" s="450"/>
      <c r="H16" s="450"/>
      <c r="I16" s="442"/>
      <c r="J16" s="442"/>
      <c r="K16" s="442"/>
      <c r="L16" s="442"/>
      <c r="M16" s="442"/>
    </row>
    <row r="17" spans="1:13" s="12" customFormat="1" ht="67.5" customHeight="1">
      <c r="A17" s="447" t="s">
        <v>222</v>
      </c>
      <c r="B17" s="489"/>
      <c r="C17" s="449"/>
      <c r="D17" s="450"/>
      <c r="E17" s="450"/>
      <c r="F17" s="450"/>
      <c r="G17" s="450"/>
      <c r="H17" s="450"/>
      <c r="I17" s="442"/>
      <c r="J17" s="442"/>
      <c r="K17" s="442"/>
      <c r="L17" s="442"/>
      <c r="M17" s="442"/>
    </row>
    <row r="18" s="12" customFormat="1" ht="13.5" customHeight="1"/>
    <row r="27" spans="2:12" ht="13.5">
      <c r="B27" s="335"/>
      <c r="C27" s="335"/>
      <c r="D27" s="335"/>
      <c r="E27" s="335"/>
      <c r="F27" s="335"/>
      <c r="G27" s="335"/>
      <c r="H27" s="335"/>
      <c r="I27" s="335"/>
      <c r="J27" s="335"/>
      <c r="K27" s="335"/>
      <c r="L27" s="335"/>
    </row>
    <row r="28" spans="2:12" ht="13.5">
      <c r="B28" s="335"/>
      <c r="C28" s="335"/>
      <c r="D28" s="335"/>
      <c r="E28" s="335"/>
      <c r="F28" s="335"/>
      <c r="G28" s="335"/>
      <c r="H28" s="335"/>
      <c r="I28" s="335"/>
      <c r="J28" s="335"/>
      <c r="K28" s="335"/>
      <c r="L28" s="335"/>
    </row>
    <row r="29" spans="2:12" ht="13.5">
      <c r="B29" s="335"/>
      <c r="C29" s="335"/>
      <c r="D29" s="335"/>
      <c r="E29" s="335"/>
      <c r="F29" s="335"/>
      <c r="G29" s="335"/>
      <c r="H29" s="335"/>
      <c r="I29" s="335"/>
      <c r="J29" s="335"/>
      <c r="K29" s="335"/>
      <c r="L29" s="335"/>
    </row>
  </sheetData>
  <sheetProtection/>
  <mergeCells count="30">
    <mergeCell ref="A15:C15"/>
    <mergeCell ref="A16:C16"/>
    <mergeCell ref="A10:C11"/>
    <mergeCell ref="A12:C12"/>
    <mergeCell ref="A13:C13"/>
    <mergeCell ref="A14:C14"/>
    <mergeCell ref="A2:D4"/>
    <mergeCell ref="A5:D7"/>
    <mergeCell ref="I2:J2"/>
    <mergeCell ref="I3:J3"/>
    <mergeCell ref="I4:J4"/>
    <mergeCell ref="I5:J5"/>
    <mergeCell ref="I6:J6"/>
    <mergeCell ref="I7:J7"/>
    <mergeCell ref="A17:C17"/>
    <mergeCell ref="D10:M10"/>
    <mergeCell ref="D11:H11"/>
    <mergeCell ref="I11:M11"/>
    <mergeCell ref="D12:H12"/>
    <mergeCell ref="I12:M12"/>
    <mergeCell ref="D13:H13"/>
    <mergeCell ref="I13:M13"/>
    <mergeCell ref="I14:M14"/>
    <mergeCell ref="D14:H14"/>
    <mergeCell ref="D17:H17"/>
    <mergeCell ref="I17:M17"/>
    <mergeCell ref="D15:H15"/>
    <mergeCell ref="I15:M15"/>
    <mergeCell ref="I16:M16"/>
    <mergeCell ref="D16:H16"/>
  </mergeCells>
  <dataValidations count="2">
    <dataValidation allowBlank="1" showInputMessage="1" showErrorMessage="1" imeMode="halfAlpha" sqref="D8 F8 H8"/>
    <dataValidation type="decimal" operator="greaterThanOrEqual" allowBlank="1" showInputMessage="1" showErrorMessage="1" imeMode="halfAlpha" sqref="I3 I6">
      <formula1>0</formula1>
    </dataValidation>
  </dataValidations>
  <printOptions/>
  <pageMargins left="0.75" right="0.75" top="1" bottom="1" header="0.512" footer="0.512"/>
  <pageSetup horizontalDpi="600" verticalDpi="600" orientation="portrait" paperSize="9" r:id="rId1"/>
  <headerFooter alignWithMargins="0">
    <oddHeader>&amp;R様式８</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実績報告書Ver2.1</dc:title>
  <dc:subject>車種規制の告知あり</dc:subject>
  <dc:creator/>
  <cp:keywords/>
  <dc:description/>
  <cp:lastModifiedBy>環境政策課</cp:lastModifiedBy>
  <cp:lastPrinted>2003-04-09T01:31:52Z</cp:lastPrinted>
  <dcterms:created xsi:type="dcterms:W3CDTF">2001-06-28T06:14:21Z</dcterms:created>
  <dcterms:modified xsi:type="dcterms:W3CDTF">2003-04-24T00:14:43Z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682232048</vt:i4>
  </property>
  <property fmtid="{D5CDD505-2E9C-101B-9397-08002B2CF9AE}" pid="3" name="_EmailSubject">
    <vt:lpwstr>実績報告書</vt:lpwstr>
  </property>
  <property fmtid="{D5CDD505-2E9C-101B-9397-08002B2CF9AE}" pid="4" name="_AuthorEmail">
    <vt:lpwstr>MatsumotoYoshi@mbox.pref.osaka.jp</vt:lpwstr>
  </property>
  <property fmtid="{D5CDD505-2E9C-101B-9397-08002B2CF9AE}" pid="5" name="_AuthorEmailDisplayName">
    <vt:lpwstr>松本 恵明</vt:lpwstr>
  </property>
</Properties>
</file>